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DbqBXzlUzgjuqzfAy5UKiJEeNOvz8RYT9+plGCQvEET1Jib4Rp8OEoopUz2BJDjsF8OmOEu5asXHEIFBUpHw==" workbookSaltValue="FHh7T3vixNIq1asbqNjE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E23" i="12" l="1"/>
  <c r="BF17" i="8"/>
  <c r="R8" i="9"/>
  <c r="AP17" i="20" s="1"/>
  <c r="R13" i="17"/>
  <c r="P13" i="14"/>
  <c r="R13" i="14"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BF23" i="13"/>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G25" i="11"/>
  <c r="BW25" i="20"/>
  <c r="BH11" i="11"/>
  <c r="BK22" i="11"/>
  <c r="X12" i="17"/>
  <c r="X22" i="16"/>
  <c r="X10" i="21"/>
  <c r="BH16" i="16"/>
  <c r="BF28" i="11"/>
  <c r="BG20" i="11"/>
  <c r="BK29" i="1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F13" i="11"/>
  <c r="Q18" i="20"/>
  <c r="Q23" i="20" s="1"/>
  <c r="BF18" i="11"/>
  <c r="BG22" i="11"/>
  <c r="AZ19" i="11"/>
  <c r="V12" i="21"/>
  <c r="AZ18" i="11"/>
  <c r="AP21" i="20"/>
  <c r="BJ11" i="11"/>
  <c r="R10" i="21"/>
  <c r="BG16" i="11"/>
  <c r="BL13" i="11"/>
  <c r="BM16" i="11"/>
  <c r="BJ25" i="11"/>
  <c r="BU16" i="17"/>
  <c r="X20" i="16"/>
  <c r="U13" i="17"/>
  <c r="BW29" i="20"/>
  <c r="BV29" i="16"/>
  <c r="BV9" i="16"/>
  <c r="AZ17" i="11"/>
  <c r="BG12" i="11"/>
  <c r="BI20" i="11"/>
  <c r="BI9" i="11"/>
  <c r="BL28" i="11"/>
  <c r="BL10" i="11"/>
  <c r="BH10" i="16"/>
  <c r="S18" i="17"/>
  <c r="BM9" i="11"/>
  <c r="BH12" i="16"/>
  <c r="L12" i="2"/>
  <c r="L20" i="2"/>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BV30"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<sst xmlns="http://schemas.openxmlformats.org/spreadsheetml/2006/main" count="2682" uniqueCount="1193">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</sst>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6BRdnwSjsIbKt5nTiYlnvUAPgbdD46MEOGVDhhQxZYa7c5ZF5j7kVWbn6zithkHIV8YQx0b8Cyi9WCPt/gdOQ==" saltValue="AdiD9RtVZFoV4V9eSCVE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257</v>
      </c>
      <c r="D10" s="239">
        <f>IF(ISNUMBER(Datos!I10),Datos!I10," - ")</f>
        <v>257</v>
      </c>
      <c r="E10" s="240">
        <f>IF(ISNUMBER(Datos!J10),Datos!J10," - ")</f>
        <v>39</v>
      </c>
      <c r="F10" s="240">
        <f>IF(ISNUMBER(Datos!K10),Datos!K10," - ")</f>
        <v>18</v>
      </c>
      <c r="G10" s="1390" t="str">
        <f>IF(Datos!E10&lt;&gt;"",Datos!E10,Datos!D10)</f>
        <v>37</v>
      </c>
      <c r="H10" s="241">
        <f>IF(ISNUMBER(Datos!L10),Datos!L10," - ")</f>
        <v>278</v>
      </c>
      <c r="I10" s="1400" t="str">
        <f>IF(ISNUMBER(Datos!AS10/Datos!BM10),Datos!AS10/Datos!BM10," - ")</f>
        <v xml:space="preserve"> - </v>
      </c>
      <c r="J10" s="1401">
        <f>IF(ISNUMBER(Datos!BY10/Datos!CN10),Datos!BY10/Datos!CN10," - ")</f>
        <v>0</v>
      </c>
      <c r="K10" s="244">
        <f t="shared" ref="K10:K13" si="1">IF(ISNUMBER((E10-F10)/C10),(E10-F10)/C10," - ")</f>
        <v>8.171206225680934E-2</v>
      </c>
      <c r="L10" s="1402">
        <f>IF(ISNUMBER(NºAsuntos!I10/NºAsuntos!G10),(NºAsuntos!I10/NºAsuntos!G10)*11," - ")</f>
        <v>169.88888888888889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104.79603399433428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257</v>
      </c>
      <c r="D14" s="1407">
        <f>SUBTOTAL(9,D9:D13)</f>
        <v>257</v>
      </c>
      <c r="E14" s="1408">
        <f>SUBTOTAL(9,E9:E13)</f>
        <v>39</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5215</v>
      </c>
      <c r="D17" s="239">
        <f>IF(ISNUMBER(IF(D_I="SI",Datos!I17,Datos!I17+Datos!AC17)),IF(D_I="SI",Datos!I17,Datos!I17+Datos!AC17)," - ")</f>
        <v>5679</v>
      </c>
      <c r="E17" s="240">
        <f>IF(ISNUMBER(IF(D_I="SI",Datos!J17,Datos!J17+Datos!AD17)),IF(D_I="SI",Datos!J17,Datos!J17+Datos!AD17)," - ")</f>
        <v>1917</v>
      </c>
      <c r="F17" s="240">
        <f>IF(ISNUMBER(IF(D_I="SI",Datos!K17,Datos!K17+Datos!AE17)),IF(D_I="SI",Datos!K17,Datos!K17+Datos!AE17)," - ")</f>
        <v>1541</v>
      </c>
      <c r="G17" s="1390" t="str">
        <f>IF(Datos!E17&lt;&gt;"",Datos!E17,Datos!D17)</f>
        <v>04</v>
      </c>
      <c r="H17" s="241">
        <f>IF(ISNUMBER(IF(D_I="SI",Datos!L17,Datos!L17+Datos!AF17)),IF(D_I="SI",Datos!L17,Datos!L17+Datos!AF17)," - ")</f>
        <v>5591</v>
      </c>
      <c r="I17" s="1400" t="str">
        <f>IF(ISNUMBER(Datos!AS17/Datos!BM17),Datos!AS17/Datos!BM17," - ")</f>
        <v xml:space="preserve"> - </v>
      </c>
      <c r="J17" s="1401">
        <f>IF(ISNUMBER(Datos!BY17/Datos!CN17),Datos!BY17/Datos!CN17," - ")</f>
        <v>0</v>
      </c>
      <c r="K17" s="244">
        <f t="shared" si="3"/>
        <v>7.2099712368168742E-2</v>
      </c>
      <c r="L17" s="1402">
        <f>IF(ISNUMBER(NºAsuntos!I17/NºAsuntos!G17),(NºAsuntos!I17/NºAsuntos!G17)*11," - ")</f>
        <v>39.909798831927318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712</v>
      </c>
      <c r="D18" s="239">
        <f>IF(ISNUMBER(IF(D_I="SI",Datos!I18,Datos!I18+Datos!AC18)),IF(D_I="SI",Datos!I18,Datos!I18+Datos!AC18)," - ")</f>
        <v>712</v>
      </c>
      <c r="E18" s="240">
        <f>IF(ISNUMBER(IF(D_I="SI",Datos!J18,Datos!J18+Datos!AD18)),IF(D_I="SI",Datos!J18,Datos!J18+Datos!AD18)," - ")</f>
        <v>302</v>
      </c>
      <c r="F18" s="240">
        <f>IF(ISNUMBER(IF(D_I="SI",Datos!K18,Datos!K18+Datos!AE18)),IF(D_I="SI",Datos!K18,Datos!K18+Datos!AE18)," - ")</f>
        <v>225</v>
      </c>
      <c r="G18" s="1390" t="str">
        <f>IF(Datos!E18&lt;&gt;"",Datos!E18,Datos!D18)</f>
        <v>37</v>
      </c>
      <c r="H18" s="241">
        <f>IF(ISNUMBER(IF(D_I="SI",Datos!L18,Datos!L18+Datos!AF18)),IF(D_I="SI",Datos!L18,Datos!L18+Datos!AF18)," - ")</f>
        <v>789</v>
      </c>
      <c r="I18" s="1400" t="str">
        <f>IF(ISNUMBER(Datos!AS18/Datos!BM18),Datos!AS18/Datos!BM18," - ")</f>
        <v xml:space="preserve"> - </v>
      </c>
      <c r="J18" s="1401" t="str">
        <f>IF(ISNUMBER((Datos!BY18+Datos!BZ18)/Datos!CN18),(Datos!BY18+Datos!BZ18)/Datos!CN18," - ")</f>
        <v xml:space="preserve"> - </v>
      </c>
      <c r="K18" s="244">
        <f t="shared" si="3"/>
        <v>0.10814606741573034</v>
      </c>
      <c r="L18" s="1402">
        <f>IF(ISNUMBER(NºAsuntos!I18/NºAsuntos!G18),(NºAsuntos!I18/NºAsuntos!G18)*11," - ")</f>
        <v>38.573333333333338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5927</v>
      </c>
      <c r="D23" s="1407">
        <f>SUBTOTAL(9,D16:D22)</f>
        <v>6391</v>
      </c>
      <c r="E23" s="1408">
        <f>SUBTOTAL(9,E16:E22)</f>
        <v>2219</v>
      </c>
      <c r="F23" s="1408">
        <f>SUBTOTAL(9,F16:F22)</f>
        <v>1766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6184</v>
      </c>
      <c r="D31" s="1435">
        <f>SUBTOTAL(9,D9:D30)</f>
        <v>6648</v>
      </c>
      <c r="E31" s="1436">
        <f>SUBTOTAL(9,E9:E30)</f>
        <v>2258</v>
      </c>
      <c r="F31" s="1436">
        <f>SUBTOTAL(9,F9:F30)</f>
        <v>1784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Fg21mqUE1luf1jc2eJf7vcIDLLawRzs3WOoFpyj7XH8EJKjmrLrKwNj7Ddof3Qp4SOKuyGzKWEHkUusggmZ1w==" saltValue="Wntej3Z/EtoRDxTjuE87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RcnaFhyZKOTcaHcBJ9WELUmXpjd8yb63gr7x2oT6TUMxPv+tKzma4ww4SOddPxL/Eh4Ei7TApKwYvJuMO3vKg==" saltValue="TC+wgVsaeVlpbwQgzP+k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257</v>
      </c>
      <c r="J10" s="194">
        <v>39</v>
      </c>
      <c r="K10" s="194">
        <v>18</v>
      </c>
      <c r="L10" s="194">
        <v>278</v>
      </c>
      <c r="M10" s="194">
        <v>7</v>
      </c>
      <c r="N10" s="194">
        <v>7</v>
      </c>
      <c r="O10" s="194">
        <v>2</v>
      </c>
      <c r="P10" s="194">
        <v>8</v>
      </c>
      <c r="Q10" s="194">
        <v>0</v>
      </c>
      <c r="R10" s="194">
        <v>205</v>
      </c>
      <c r="S10" s="194">
        <v>233</v>
      </c>
      <c r="T10" s="194">
        <v>49</v>
      </c>
      <c r="U10" s="194">
        <v>34</v>
      </c>
      <c r="V10" s="194">
        <v>248</v>
      </c>
      <c r="W10" s="194">
        <v>14</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233</v>
      </c>
      <c r="AZ10" s="139">
        <f t="shared" si="0"/>
        <v>49</v>
      </c>
      <c r="BA10" s="139">
        <f t="shared" si="0"/>
        <v>34</v>
      </c>
      <c r="BB10" s="139">
        <f t="shared" si="0"/>
        <v>248</v>
      </c>
      <c r="BC10" s="135">
        <f t="shared" si="0"/>
        <v>14</v>
      </c>
      <c r="BD10" s="136">
        <f>IF(ISNUMBER(BA10/AZ10),BA10/AZ10," - ")</f>
        <v>0.69387755102040816</v>
      </c>
      <c r="BE10" s="137">
        <f>IF(ISNUMBER(BB10/BA10),BB10/BA10, " - ")</f>
        <v>7.2941176470588234</v>
      </c>
      <c r="BF10" s="137">
        <f>IF(ISNUMBER(BC10/BA10),BC10/BA10, " - ")</f>
        <v>0.41176470588235292</v>
      </c>
      <c r="BG10" s="209">
        <f>IF(ISNUMBER((AY10+AZ10)/BA10),(AY10+AZ10)/BA10," - ")</f>
        <v>8.2941176470588243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12222</v>
      </c>
      <c r="J12" s="196">
        <v>2069</v>
      </c>
      <c r="K12" s="196">
        <v>1318</v>
      </c>
      <c r="L12" s="196">
        <v>13083</v>
      </c>
      <c r="M12" s="196">
        <v>291</v>
      </c>
      <c r="N12" s="196">
        <v>433</v>
      </c>
      <c r="O12" s="194">
        <v>614</v>
      </c>
      <c r="P12" s="196">
        <v>472</v>
      </c>
      <c r="Q12" s="196">
        <v>469</v>
      </c>
      <c r="R12" s="196">
        <v>15672</v>
      </c>
      <c r="S12" s="196">
        <v>8527</v>
      </c>
      <c r="T12" s="196">
        <v>2862</v>
      </c>
      <c r="U12" s="196">
        <v>1127</v>
      </c>
      <c r="V12" s="196">
        <v>10242</v>
      </c>
      <c r="W12" s="196">
        <v>221</v>
      </c>
      <c r="X12" s="202">
        <v>495</v>
      </c>
      <c r="Y12" s="204">
        <v>323</v>
      </c>
      <c r="Z12" s="194">
        <v>140</v>
      </c>
      <c r="AA12" s="194">
        <v>94</v>
      </c>
      <c r="AB12" s="194">
        <v>369</v>
      </c>
      <c r="AC12" s="196">
        <v>0</v>
      </c>
      <c r="AD12" s="196">
        <v>0</v>
      </c>
      <c r="AE12" s="196">
        <v>0</v>
      </c>
      <c r="AF12" s="202">
        <v>0</v>
      </c>
      <c r="AG12" s="215">
        <v>293</v>
      </c>
      <c r="AH12" s="196">
        <v>181</v>
      </c>
      <c r="AI12" s="196">
        <v>103</v>
      </c>
      <c r="AJ12" s="216">
        <v>371</v>
      </c>
      <c r="AK12" s="195">
        <v>0</v>
      </c>
      <c r="AL12" s="196">
        <v>0</v>
      </c>
      <c r="AM12" s="196">
        <v>0</v>
      </c>
      <c r="AN12" s="202">
        <v>0</v>
      </c>
      <c r="AO12" s="283">
        <v>7</v>
      </c>
      <c r="AP12" s="168">
        <v>7</v>
      </c>
      <c r="AQ12" s="168">
        <v>7</v>
      </c>
      <c r="AR12" s="167">
        <v>7</v>
      </c>
      <c r="AS12" s="381" t="s">
        <v>1075</v>
      </c>
      <c r="AT12" s="216"/>
      <c r="AU12" s="215"/>
      <c r="AV12" s="216"/>
      <c r="AW12" s="215"/>
      <c r="AX12" s="216"/>
      <c r="AY12" s="136">
        <f t="shared" si="1"/>
        <v>8820</v>
      </c>
      <c r="AZ12" s="137">
        <f t="shared" si="1"/>
        <v>3043</v>
      </c>
      <c r="BA12" s="137">
        <f t="shared" si="1"/>
        <v>1230</v>
      </c>
      <c r="BB12" s="137">
        <f t="shared" si="1"/>
        <v>10613</v>
      </c>
      <c r="BC12" s="135">
        <f>IF(ISNUMBER(X12),X12," - ")</f>
        <v>495</v>
      </c>
      <c r="BD12" s="136">
        <f t="shared" si="2"/>
        <v>0.40420637528754516</v>
      </c>
      <c r="BE12" s="137">
        <f t="shared" si="3"/>
        <v>8.6284552845528459</v>
      </c>
      <c r="BF12" s="137">
        <f t="shared" si="4"/>
        <v>0.40243902439024393</v>
      </c>
      <c r="BG12" s="209">
        <f t="shared" si="5"/>
        <v>9.6447154471544714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12479</v>
      </c>
      <c r="J14" s="197">
        <f t="shared" si="7"/>
        <v>2108</v>
      </c>
      <c r="K14" s="197">
        <f t="shared" si="7"/>
        <v>1336</v>
      </c>
      <c r="L14" s="197">
        <f t="shared" si="7"/>
        <v>13361</v>
      </c>
      <c r="M14" s="197">
        <f t="shared" si="7"/>
        <v>298</v>
      </c>
      <c r="N14" s="197">
        <f t="shared" si="7"/>
        <v>440</v>
      </c>
      <c r="O14" s="197">
        <f t="shared" si="7"/>
        <v>616</v>
      </c>
      <c r="P14" s="197">
        <f t="shared" si="7"/>
        <v>480</v>
      </c>
      <c r="Q14" s="197">
        <f t="shared" si="7"/>
        <v>469</v>
      </c>
      <c r="R14" s="197">
        <f t="shared" si="7"/>
        <v>15877</v>
      </c>
      <c r="S14" s="197">
        <f t="shared" si="7"/>
        <v>8760</v>
      </c>
      <c r="T14" s="197">
        <f t="shared" si="7"/>
        <v>2911</v>
      </c>
      <c r="U14" s="197">
        <f t="shared" si="7"/>
        <v>1161</v>
      </c>
      <c r="V14" s="197">
        <f t="shared" si="7"/>
        <v>10490</v>
      </c>
      <c r="W14" s="197">
        <f t="shared" si="7"/>
        <v>235</v>
      </c>
      <c r="X14" s="197">
        <f t="shared" si="7"/>
        <v>507</v>
      </c>
      <c r="Y14" s="197">
        <f t="shared" si="7"/>
        <v>323</v>
      </c>
      <c r="Z14" s="197">
        <f t="shared" si="7"/>
        <v>140</v>
      </c>
      <c r="AA14" s="197">
        <f t="shared" si="7"/>
        <v>94</v>
      </c>
      <c r="AB14" s="197">
        <f t="shared" si="7"/>
        <v>369</v>
      </c>
      <c r="AC14" s="197">
        <f t="shared" si="7"/>
        <v>0</v>
      </c>
      <c r="AD14" s="197">
        <f t="shared" si="7"/>
        <v>0</v>
      </c>
      <c r="AE14" s="197">
        <f t="shared" si="7"/>
        <v>0</v>
      </c>
      <c r="AF14" s="197">
        <f>SUBTOTAL(9,AF9:AF13)</f>
        <v>0</v>
      </c>
      <c r="AG14" s="197">
        <f t="shared" ref="AG14:AT14" si="8">SUBTOTAL(9,AG8:AG13)</f>
        <v>293</v>
      </c>
      <c r="AH14" s="197">
        <f t="shared" si="8"/>
        <v>181</v>
      </c>
      <c r="AI14" s="197">
        <f t="shared" si="8"/>
        <v>103</v>
      </c>
      <c r="AJ14" s="197">
        <f t="shared" si="8"/>
        <v>371</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9053</v>
      </c>
      <c r="AZ14" s="197">
        <f>SUBTOTAL(9,AZ8:AZ13)</f>
        <v>3092</v>
      </c>
      <c r="BA14" s="197">
        <f>SUBTOTAL(9,BA8:BA13)</f>
        <v>1264</v>
      </c>
      <c r="BB14" s="197">
        <f>SUBTOTAL(9,BB8:BB13)</f>
        <v>10861</v>
      </c>
      <c r="BC14" s="197">
        <f>SUBTOTAL(9,BC8:BC13)</f>
        <v>509</v>
      </c>
      <c r="BD14" s="219">
        <f>IF(ISNUMBER(BA14/AZ14),BA14/AZ14," - ")</f>
        <v>0.40879689521345408</v>
      </c>
      <c r="BE14" s="220">
        <f>IF(ISNUMBER(BB14/BA14),BB14/BA14, " - ")</f>
        <v>8.5925632911392409</v>
      </c>
      <c r="BF14" s="220">
        <f>IF(ISNUMBER(BC14/BA14),BC14/BA14, " - ")</f>
        <v>0.4026898734177215</v>
      </c>
      <c r="BG14" s="221">
        <f>IF(ISNUMBER((AY14+AZ14)/BA14),(AY14+AZ14)/BA14," - ")</f>
        <v>9.6083860759493671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5679</v>
      </c>
      <c r="J17" s="196">
        <v>1917</v>
      </c>
      <c r="K17" s="196">
        <v>1541</v>
      </c>
      <c r="L17" s="196">
        <v>5591</v>
      </c>
      <c r="M17" s="196">
        <v>135</v>
      </c>
      <c r="N17" s="196">
        <v>1117</v>
      </c>
      <c r="O17" s="194">
        <v>6</v>
      </c>
      <c r="P17" s="196">
        <v>55</v>
      </c>
      <c r="Q17" s="196">
        <v>45</v>
      </c>
      <c r="R17" s="196">
        <v>315</v>
      </c>
      <c r="S17" s="196">
        <v>4825</v>
      </c>
      <c r="T17" s="196">
        <v>2016</v>
      </c>
      <c r="U17" s="196">
        <v>1649</v>
      </c>
      <c r="V17" s="196">
        <v>4880</v>
      </c>
      <c r="W17" s="196">
        <v>162</v>
      </c>
      <c r="X17" s="202">
        <v>1215</v>
      </c>
      <c r="Y17" s="215">
        <v>0</v>
      </c>
      <c r="Z17" s="196">
        <v>0</v>
      </c>
      <c r="AA17" s="196">
        <v>0</v>
      </c>
      <c r="AB17" s="196">
        <v>0</v>
      </c>
      <c r="AC17" s="196">
        <v>17</v>
      </c>
      <c r="AD17" s="196">
        <v>30</v>
      </c>
      <c r="AE17" s="196">
        <v>27</v>
      </c>
      <c r="AF17" s="202">
        <v>20</v>
      </c>
      <c r="AG17" s="215">
        <v>0</v>
      </c>
      <c r="AH17" s="196">
        <v>0</v>
      </c>
      <c r="AI17" s="196">
        <v>0</v>
      </c>
      <c r="AJ17" s="216">
        <v>0</v>
      </c>
      <c r="AK17" s="195">
        <v>23</v>
      </c>
      <c r="AL17" s="196">
        <v>17</v>
      </c>
      <c r="AM17" s="196">
        <v>19</v>
      </c>
      <c r="AN17" s="202">
        <v>21</v>
      </c>
      <c r="AO17" s="283">
        <v>7</v>
      </c>
      <c r="AP17" s="168">
        <v>7</v>
      </c>
      <c r="AQ17" s="168">
        <v>7</v>
      </c>
      <c r="AR17" s="168">
        <v>7</v>
      </c>
      <c r="AS17" s="381" t="s">
        <v>650</v>
      </c>
      <c r="AT17" s="216"/>
      <c r="AU17" s="215"/>
      <c r="AV17" s="216"/>
      <c r="AW17" s="215"/>
      <c r="AX17" s="216"/>
      <c r="AY17" s="136">
        <f t="shared" si="10"/>
        <v>4825</v>
      </c>
      <c r="AZ17" s="137">
        <f t="shared" si="10"/>
        <v>2016</v>
      </c>
      <c r="BA17" s="137">
        <f t="shared" si="10"/>
        <v>1649</v>
      </c>
      <c r="BB17" s="137">
        <f t="shared" si="10"/>
        <v>4880</v>
      </c>
      <c r="BC17" s="135">
        <f>IF(ISNUMBER(W17),W17," - ")</f>
        <v>162</v>
      </c>
      <c r="BD17" s="136">
        <f t="shared" ref="BD17:BD22" si="12">IF(ISNUMBER(BA17/AZ17),BA17/AZ17," - ")</f>
        <v>0.81795634920634919</v>
      </c>
      <c r="BE17" s="137">
        <f t="shared" ref="BE17:BE22" si="13">IF(ISNUMBER(BB17/BA17),BB17/BA17, " - ")</f>
        <v>2.9593693147362039</v>
      </c>
      <c r="BF17" s="137">
        <f t="shared" ref="BF17:BF22" si="14">IF(ISNUMBER(BC17/BA17),BC17/BA17, " - ")</f>
        <v>9.8241358399029713E-2</v>
      </c>
      <c r="BG17" s="209">
        <f t="shared" si="11"/>
        <v>4.1485748938750762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712</v>
      </c>
      <c r="J18" s="196">
        <v>302</v>
      </c>
      <c r="K18" s="196">
        <v>225</v>
      </c>
      <c r="L18" s="196">
        <v>789</v>
      </c>
      <c r="M18" s="196">
        <v>22</v>
      </c>
      <c r="N18" s="196">
        <v>209</v>
      </c>
      <c r="O18" s="196">
        <v>0</v>
      </c>
      <c r="P18" s="196">
        <v>0</v>
      </c>
      <c r="Q18" s="196">
        <v>0</v>
      </c>
      <c r="R18" s="196">
        <v>5</v>
      </c>
      <c r="S18" s="196">
        <v>638</v>
      </c>
      <c r="T18" s="196">
        <v>270</v>
      </c>
      <c r="U18" s="196">
        <v>230</v>
      </c>
      <c r="V18" s="196">
        <v>678</v>
      </c>
      <c r="W18" s="196">
        <v>25</v>
      </c>
      <c r="X18" s="202">
        <v>188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638</v>
      </c>
      <c r="AZ18" s="139">
        <f t="shared" si="15"/>
        <v>270</v>
      </c>
      <c r="BA18" s="139">
        <f t="shared" si="15"/>
        <v>230</v>
      </c>
      <c r="BB18" s="139">
        <f t="shared" si="15"/>
        <v>678</v>
      </c>
      <c r="BC18" s="135">
        <f>IF(ISNUMBER(W18),W18," - ")</f>
        <v>25</v>
      </c>
      <c r="BD18" s="136">
        <f>IF(ISNUMBER(BA18/AZ18),BA18/AZ18," - ")</f>
        <v>0.85185185185185186</v>
      </c>
      <c r="BE18" s="137">
        <f>IF(ISNUMBER(BB18/BA18),BB18/BA18, " - ")</f>
        <v>2.9478260869565216</v>
      </c>
      <c r="BF18" s="137">
        <f>IF(ISNUMBER(BC18/BA18),BC18/BA18, " - ")</f>
        <v>0.10869565217391304</v>
      </c>
      <c r="BG18" s="209">
        <f>IF(ISNUMBER((AY18+AZ18)/BA18),(AY18+AZ18)/BA18," - ")</f>
        <v>3.9478260869565216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6391</v>
      </c>
      <c r="J23" s="197">
        <f t="shared" si="21"/>
        <v>2219</v>
      </c>
      <c r="K23" s="197">
        <f t="shared" si="21"/>
        <v>1766</v>
      </c>
      <c r="L23" s="197">
        <f t="shared" si="21"/>
        <v>6380</v>
      </c>
      <c r="M23" s="197">
        <f t="shared" si="21"/>
        <v>157</v>
      </c>
      <c r="N23" s="197">
        <f t="shared" si="21"/>
        <v>1326</v>
      </c>
      <c r="O23" s="197">
        <f t="shared" si="21"/>
        <v>6</v>
      </c>
      <c r="P23" s="197">
        <f t="shared" si="21"/>
        <v>55</v>
      </c>
      <c r="Q23" s="197">
        <f t="shared" si="21"/>
        <v>45</v>
      </c>
      <c r="R23" s="197">
        <f t="shared" si="21"/>
        <v>320</v>
      </c>
      <c r="S23" s="197">
        <f t="shared" si="21"/>
        <v>5463</v>
      </c>
      <c r="T23" s="197">
        <f t="shared" si="21"/>
        <v>2286</v>
      </c>
      <c r="U23" s="197">
        <f t="shared" si="21"/>
        <v>1879</v>
      </c>
      <c r="V23" s="197">
        <f t="shared" si="21"/>
        <v>5558</v>
      </c>
      <c r="W23" s="197">
        <f t="shared" si="21"/>
        <v>187</v>
      </c>
      <c r="X23" s="197">
        <f t="shared" si="21"/>
        <v>1403</v>
      </c>
      <c r="Y23" s="197">
        <f t="shared" si="21"/>
        <v>0</v>
      </c>
      <c r="Z23" s="197">
        <f t="shared" si="21"/>
        <v>0</v>
      </c>
      <c r="AA23" s="197">
        <f t="shared" si="21"/>
        <v>0</v>
      </c>
      <c r="AB23" s="197">
        <f t="shared" si="21"/>
        <v>0</v>
      </c>
      <c r="AC23" s="197">
        <f t="shared" si="21"/>
        <v>17</v>
      </c>
      <c r="AD23" s="197">
        <f t="shared" si="21"/>
        <v>30</v>
      </c>
      <c r="AE23" s="197">
        <f t="shared" si="21"/>
        <v>27</v>
      </c>
      <c r="AF23" s="197">
        <f t="shared" si="21"/>
        <v>20</v>
      </c>
      <c r="AG23" s="197">
        <f t="shared" si="21"/>
        <v>0</v>
      </c>
      <c r="AH23" s="197">
        <f t="shared" si="21"/>
        <v>0</v>
      </c>
      <c r="AI23" s="197">
        <f t="shared" si="21"/>
        <v>0</v>
      </c>
      <c r="AJ23" s="197">
        <f t="shared" si="21"/>
        <v>0</v>
      </c>
      <c r="AK23" s="197">
        <f t="shared" si="21"/>
        <v>23</v>
      </c>
      <c r="AL23" s="197">
        <f t="shared" si="21"/>
        <v>17</v>
      </c>
      <c r="AM23" s="197">
        <f t="shared" si="21"/>
        <v>19</v>
      </c>
      <c r="AN23" s="197">
        <f t="shared" si="21"/>
        <v>21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5463</v>
      </c>
      <c r="AZ23" s="197">
        <f>SUBTOTAL(9,AZ15:AZ22)</f>
        <v>2286</v>
      </c>
      <c r="BA23" s="197">
        <f>SUBTOTAL(9,BA15:BA22)</f>
        <v>1879</v>
      </c>
      <c r="BB23" s="197">
        <f>SUBTOTAL(9,BB15:BB22)</f>
        <v>5558</v>
      </c>
      <c r="BC23" s="197">
        <f>SUBTOTAL(9,BC15:BC22)</f>
        <v>187</v>
      </c>
      <c r="BD23" s="219">
        <f>IF(ISNUMBER(BA23/AZ23),BA23/AZ23," - ")</f>
        <v>0.82195975503062113</v>
      </c>
      <c r="BE23" s="220">
        <f>IF(ISNUMBER(BB23/BA23),BB23/BA23, " - ")</f>
        <v>2.9579563597658329</v>
      </c>
      <c r="BF23" s="220">
        <f>IF(ISNUMBER(BC23/BA23),BC23/BA23, " - ")</f>
        <v>9.9521021820117087E-2</v>
      </c>
      <c r="BG23" s="221">
        <f>IF(ISNUMBER((AY23+AZ23)/BA23),(AY23+AZ23)/BA23," - ")</f>
        <v>4.1240021287919104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18870</v>
      </c>
      <c r="J31" s="144">
        <f t="shared" si="36"/>
        <v>4327</v>
      </c>
      <c r="K31" s="144">
        <f t="shared" si="36"/>
        <v>3102</v>
      </c>
      <c r="L31" s="144">
        <f t="shared" si="36"/>
        <v>19741</v>
      </c>
      <c r="M31" s="144">
        <f t="shared" si="36"/>
        <v>455</v>
      </c>
      <c r="N31" s="144">
        <f t="shared" si="36"/>
        <v>1766</v>
      </c>
      <c r="O31" s="144">
        <f t="shared" si="36"/>
        <v>622</v>
      </c>
      <c r="P31" s="144">
        <f t="shared" si="36"/>
        <v>535</v>
      </c>
      <c r="Q31" s="144">
        <f t="shared" si="36"/>
        <v>514</v>
      </c>
      <c r="R31" s="144">
        <f t="shared" si="36"/>
        <v>16197</v>
      </c>
      <c r="S31" s="144">
        <f t="shared" si="36"/>
        <v>14223</v>
      </c>
      <c r="T31" s="144">
        <f t="shared" si="36"/>
        <v>5197</v>
      </c>
      <c r="U31" s="144">
        <f t="shared" si="36"/>
        <v>3040</v>
      </c>
      <c r="V31" s="144">
        <f t="shared" si="36"/>
        <v>16048</v>
      </c>
      <c r="W31" s="144">
        <f t="shared" si="36"/>
        <v>422</v>
      </c>
      <c r="X31" s="144">
        <f t="shared" si="36"/>
        <v>1910</v>
      </c>
      <c r="Y31" s="144">
        <f t="shared" si="36"/>
        <v>323</v>
      </c>
      <c r="Z31" s="144">
        <f t="shared" si="36"/>
        <v>140</v>
      </c>
      <c r="AA31" s="144">
        <f t="shared" si="36"/>
        <v>94</v>
      </c>
      <c r="AB31" s="144">
        <f t="shared" si="36"/>
        <v>369</v>
      </c>
      <c r="AC31" s="144">
        <f t="shared" si="36"/>
        <v>17</v>
      </c>
      <c r="AD31" s="144">
        <f t="shared" si="36"/>
        <v>30</v>
      </c>
      <c r="AE31" s="144">
        <f t="shared" si="36"/>
        <v>27</v>
      </c>
      <c r="AF31" s="144">
        <f t="shared" si="36"/>
        <v>20</v>
      </c>
      <c r="AG31" s="144">
        <f t="shared" si="36"/>
        <v>293</v>
      </c>
      <c r="AH31" s="144">
        <f t="shared" si="36"/>
        <v>181</v>
      </c>
      <c r="AI31" s="144">
        <f t="shared" si="36"/>
        <v>103</v>
      </c>
      <c r="AJ31" s="144">
        <f t="shared" si="36"/>
        <v>371</v>
      </c>
      <c r="AK31" s="144">
        <f t="shared" si="36"/>
        <v>23</v>
      </c>
      <c r="AL31" s="144">
        <f t="shared" si="36"/>
        <v>17</v>
      </c>
      <c r="AM31" s="144">
        <f t="shared" si="36"/>
        <v>19</v>
      </c>
      <c r="AN31" s="224">
        <f t="shared" si="36"/>
        <v>21</v>
      </c>
      <c r="AO31" s="225">
        <v>8</v>
      </c>
      <c r="AP31" s="225">
        <v>7</v>
      </c>
      <c r="AQ31" s="225">
        <v>7</v>
      </c>
      <c r="AR31" s="225">
        <v>7</v>
      </c>
      <c r="AS31" s="166">
        <f t="shared" si="36"/>
        <v>0</v>
      </c>
      <c r="AT31" s="166">
        <f t="shared" si="36"/>
        <v>0</v>
      </c>
      <c r="AU31" s="225"/>
      <c r="AV31" s="226"/>
      <c r="AW31" s="225"/>
      <c r="AX31" s="226"/>
      <c r="AY31" s="143">
        <f>SUBTOTAL(9,AY9:AY30)</f>
        <v>14516</v>
      </c>
      <c r="AZ31" s="144">
        <f>SUBTOTAL(9,AZ9:AZ30)</f>
        <v>5378</v>
      </c>
      <c r="BA31" s="144">
        <f>SUBTOTAL(9,BA9:BA30)</f>
        <v>3143</v>
      </c>
      <c r="BB31" s="144">
        <f>SUBTOTAL(9,BB9:BB30)</f>
        <v>16419</v>
      </c>
      <c r="BC31" s="145">
        <f>SUBTOTAL(9,BC9:BC30)</f>
        <v>696</v>
      </c>
      <c r="BD31" s="227">
        <f>IF(ISNUMBER(BA31/AZ31),BA31/AZ31," - ")</f>
        <v>0.58441799925622906</v>
      </c>
      <c r="BE31" s="224">
        <f>IF(ISNUMBER(BB31/BA31),BB31/BA31, " - ")</f>
        <v>5.2239898186446068</v>
      </c>
      <c r="BF31" s="224">
        <f>IF(ISNUMBER(BC31/BA31),BC31/BA31, " - ")</f>
        <v>0.22144447979637288</v>
      </c>
      <c r="BG31" s="145">
        <f>IF(ISNUMBER((AY31+AZ31)/BA31),(AY31+AZ31)/BA31," - ")</f>
        <v>6.3296213808463255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QlhzU8qP7DumsFDeReCxJ334oA7MKbtCunktMiG0gX5oibwMINRMezublZ/5JtnZ8VWsM0iqiIhrqurnYfzg==" saltValue="XwNYjAXUvQS1eaUlSRCE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OkcWSd4FeDYXf9AXJZwKI9ighIW45ufsam/rWqdlzFw3b8mlO0hEBZar+WZjQ/SxAnz/yhvRxi6bBUyGoX20Q==" saltValue="a9oQ0UFTAuuxKj47Ecd4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ILLESCAS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257</v>
      </c>
      <c r="G10" s="543">
        <f>IF(ISNUMBER(Datos!I10),Datos!I10," - ")</f>
        <v>257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278</v>
      </c>
      <c r="AG10" s="549"/>
      <c r="AH10" s="549"/>
      <c r="AI10" s="549"/>
      <c r="AJ10" s="549"/>
      <c r="AK10" s="549"/>
      <c r="AL10" s="550"/>
      <c r="AM10" s="766">
        <f>IF(ISNUMBER(Datos!R10),Datos!R10," - ")</f>
        <v>205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7</v>
      </c>
      <c r="BE10" s="693" t="str">
        <f>IF(ISNUMBER(Datos!BW10),Datos!BW10," - ")</f>
        <v xml:space="preserve"> - </v>
      </c>
      <c r="BF10" s="762" t="str">
        <f>IF(ISNUMBER(Datos!BX10),Datos!BX10," - ")</f>
        <v xml:space="preserve"> - </v>
      </c>
      <c r="BG10" s="763">
        <f>IF(ISNUMBER(Datos!K10/Datos!J10),Datos!K10/Datos!J10," - ")</f>
        <v>0.46153846153846156</v>
      </c>
      <c r="BH10" s="764">
        <f>IF(ISNUMBER(((Datos!L10/Datos!K10)*11)/factor_trimestre),((Datos!L10/Datos!K10)*11)/factor_trimestre," - ")</f>
        <v>30.888888888888889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4.060913705583756E-2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140</v>
      </c>
      <c r="O12" s="549"/>
      <c r="P12" s="549"/>
      <c r="Q12" s="547">
        <f>IF(ISNUMBER(Datos!P12),Datos!P12,0)</f>
        <v>472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369</v>
      </c>
      <c r="AI12" s="549" t="str">
        <f>IF(ISNUMBER(Datos!CD12),Datos!CD12,"-")</f>
        <v>-</v>
      </c>
      <c r="AJ12" s="549" t="str">
        <f>IF(ISNUMBER(Datos!EN12),Datos!EN12," - ")</f>
        <v xml:space="preserve"> - </v>
      </c>
      <c r="AK12" s="549"/>
      <c r="AL12" s="550"/>
      <c r="AM12" s="766">
        <f>IF(ISNUMBER(Datos!R12),Datos!R12," - ")</f>
        <v>15672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291</v>
      </c>
      <c r="BD12" s="693">
        <f>IF(ISNUMBER(Datos!N12),Datos!N12," - ")</f>
        <v>433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0.63920325939339062</v>
      </c>
      <c r="BH12" s="764">
        <f>IF(ISNUMBER(((IF(J_V="SI",Datos!L12/Datos!K12,(Datos!L12+Datos!AB12)/(Datos!K12+Datos!AA12)))*11)/factor_trimestre),((IF(J_V="SI",Datos!L12/Datos!K12,(Datos!L12+Datos!AB12)/(Datos!K12+Datos!AA12)))*11)/factor_trimestre," - ")</f>
        <v>19.053824362606232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1.9146084625694046E-4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257</v>
      </c>
      <c r="G14" s="1197">
        <f t="shared" si="1"/>
        <v>257</v>
      </c>
      <c r="H14" s="1198">
        <f t="shared" si="1"/>
        <v>0</v>
      </c>
      <c r="I14" s="1197">
        <f t="shared" si="1"/>
        <v>0</v>
      </c>
      <c r="J14" s="1164">
        <f t="shared" si="1"/>
        <v>0</v>
      </c>
      <c r="K14" s="1164">
        <f t="shared" si="1"/>
        <v>0</v>
      </c>
      <c r="L14" s="1198">
        <f t="shared" si="1"/>
        <v>0</v>
      </c>
      <c r="M14" s="1198">
        <f t="shared" si="1"/>
        <v>0</v>
      </c>
      <c r="N14" s="1198">
        <f t="shared" si="1"/>
        <v>140</v>
      </c>
      <c r="O14" s="1199">
        <f t="shared" si="1"/>
        <v>0</v>
      </c>
      <c r="P14" s="1199">
        <f t="shared" si="1"/>
        <v>0</v>
      </c>
      <c r="Q14" s="1198">
        <f t="shared" si="1"/>
        <v>480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469</v>
      </c>
      <c r="AD14" s="1198">
        <f t="shared" si="2"/>
        <v>0</v>
      </c>
      <c r="AE14" s="1198">
        <f t="shared" si="2"/>
        <v>0</v>
      </c>
      <c r="AF14" s="1198">
        <f t="shared" si="2"/>
        <v>278</v>
      </c>
      <c r="AG14" s="1198">
        <f t="shared" si="2"/>
        <v>0</v>
      </c>
      <c r="AH14" s="1198">
        <f t="shared" si="2"/>
        <v>369</v>
      </c>
      <c r="AI14" s="1198">
        <f t="shared" si="2"/>
        <v>0</v>
      </c>
      <c r="AJ14" s="1198">
        <f t="shared" si="2"/>
        <v>0</v>
      </c>
      <c r="AK14" s="1198">
        <f t="shared" si="2"/>
        <v>0</v>
      </c>
      <c r="AL14" s="1198">
        <f t="shared" si="2"/>
        <v>0</v>
      </c>
      <c r="AM14" s="1198">
        <f t="shared" si="2"/>
        <v>15877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298</v>
      </c>
      <c r="BD14" s="1198">
        <f t="shared" si="2"/>
        <v>440</v>
      </c>
      <c r="BE14" s="1198">
        <f t="shared" si="2"/>
        <v>0</v>
      </c>
      <c r="BF14" s="1198">
        <f t="shared" si="2"/>
        <v>0</v>
      </c>
      <c r="BG14" s="1198">
        <f>IF(ISNUMBER(Datos!K14/Datos!J14),Datos!K14/Datos!J14," - ")</f>
        <v>0.63377609108159394</v>
      </c>
      <c r="BH14" s="1202">
        <f>IF(ISNUMBER(((Datos!L14/Datos!K14)*11)/factor_trimestre),((Datos!L14/Datos!K14)*11)/factor_trimestre," - ")</f>
        <v>20.001497005988025</v>
      </c>
      <c r="BI14" s="1198">
        <f>IF(ISNUMBER('Resol  Asuntos'!D14/NºAsuntos!G14),'Resol  Asuntos'!D14/NºAsuntos!G14," - ")</f>
        <v>0.20839160839160839</v>
      </c>
      <c r="BJ14" s="1198" t="str">
        <f>IF(ISNUMBER(Datos!CI14/Datos!CJ14),Datos!CI14/Datos!CJ14," - ")</f>
        <v xml:space="preserve"> - </v>
      </c>
      <c r="BK14" s="1198">
        <f>SUBTOTAL(9,BK8:BK13)</f>
        <v>0</v>
      </c>
      <c r="BL14" s="1198">
        <f>IF(ISNUMBER((I14-AB14+L14)/(F14)),(I14-AB14+L14)/(F14)," - ")</f>
        <v>-7.0038910505836577E-2</v>
      </c>
      <c r="BM14" s="1203">
        <f>SUBTOTAL(9,BM9:BM13)</f>
        <v>4.0800597902094504E-2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5215</v>
      </c>
      <c r="G17" s="743">
        <f>IF(ISNUMBER(IF(D_I="SI",Datos!I17,Datos!I17+Datos!AC17)),IF(D_I="SI",Datos!I17,Datos!I17+Datos!AC17)," - ")</f>
        <v>5679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1541</v>
      </c>
      <c r="AC17" s="240">
        <f>IF(ISNUMBER(Datos!Q17),Datos!Q17," - ")</f>
        <v>45</v>
      </c>
      <c r="AD17" s="374"/>
      <c r="AE17" s="562"/>
      <c r="AF17" s="741">
        <f>IF(ISNUMBER(IF(D_I="SI",Datos!L17,Datos!L17+Datos!AF17)),IF(D_I="SI",Datos!L17,Datos!L17+Datos!AF17)," - ")</f>
        <v>5591</v>
      </c>
      <c r="AG17" s="374"/>
      <c r="AH17" s="374"/>
      <c r="AI17" s="374"/>
      <c r="AJ17" s="549"/>
      <c r="AK17" s="374"/>
      <c r="AL17" s="545"/>
      <c r="AM17" s="375">
        <f>IF(ISNUMBER(Datos!R17),Datos!R17," - ")</f>
        <v>315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135</v>
      </c>
      <c r="BD17" s="243">
        <f>IF(ISNUMBER(Datos!N17),Datos!N17," - ")</f>
        <v>1117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0.80386019822639543</v>
      </c>
      <c r="BH17" s="764">
        <f>IF(ISNUMBER(((IF(D_I="SI",Datos!L17/Datos!K17,(Datos!L17+Datos!AF17)/(Datos!K17+Datos!AE17)))*11)/factor_trimestre),((IF(D_I="SI",Datos!L17/Datos!K17,(Datos!L17+Datos!AF17)/(Datos!K17+Datos!AE17)))*11)/factor_trimestre," - ")</f>
        <v>7.2563270603504213</v>
      </c>
      <c r="BI17" s="266">
        <f>IF(ISNUMBER('Resol  Asuntos'!D17/NºAsuntos!G17),'Resol  Asuntos'!D17/NºAsuntos!G17," - ")</f>
        <v>8.7605451005840357E-2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225</v>
      </c>
      <c r="AC18" s="547">
        <f>IF(ISNUMBER(Datos!Q18),Datos!Q18," - ")</f>
        <v>0</v>
      </c>
      <c r="AD18" s="549"/>
      <c r="AE18" s="562"/>
      <c r="AF18" s="551">
        <f>IF(ISNUMBER(Datos!L18),Datos!L18,"-")</f>
        <v>789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209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0.74503311258278149</v>
      </c>
      <c r="BH18" s="764">
        <f>IF(ISNUMBER(((IF(D_I="SI",Datos!L18/Datos!K18,(Datos!L18+Datos!AF18)/(Datos!K18+Datos!AE18)))*11)/factor_trimestre),((IF(D_I="SI",Datos!L18/Datos!K18,(Datos!L18+Datos!AF18)/(Datos!K18+Datos!AE18)))*11)/factor_trimestre," - ")</f>
        <v>7.0133333333333345</v>
      </c>
      <c r="BI18" s="763">
        <f>IF(ISNUMBER('Resol  Asuntos'!D18/NºAsuntos!G18),'Resol  Asuntos'!D18/NºAsuntos!G18," - ")</f>
        <v>9.7777777777777783E-2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5215</v>
      </c>
      <c r="G23" s="1197">
        <f>SUBTOTAL(9,G16:G22)</f>
        <v>6391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1766</v>
      </c>
      <c r="AC23" s="1198">
        <f t="shared" si="5"/>
        <v>45</v>
      </c>
      <c r="AD23" s="1198">
        <f t="shared" si="5"/>
        <v>0</v>
      </c>
      <c r="AE23" s="1198">
        <f t="shared" si="5"/>
        <v>0</v>
      </c>
      <c r="AF23" s="1198">
        <f t="shared" si="5"/>
        <v>6380</v>
      </c>
      <c r="AG23" s="1198">
        <f t="shared" si="5"/>
        <v>0</v>
      </c>
      <c r="AH23" s="1198">
        <f t="shared" si="5"/>
        <v>0</v>
      </c>
      <c r="AI23" s="1198">
        <f t="shared" si="5"/>
        <v>0</v>
      </c>
      <c r="AJ23" s="1198">
        <f t="shared" si="5"/>
        <v>0</v>
      </c>
      <c r="AK23" s="1198">
        <f t="shared" si="5"/>
        <v>0</v>
      </c>
      <c r="AL23" s="1198">
        <f t="shared" si="5"/>
        <v>0</v>
      </c>
      <c r="AM23" s="1198">
        <f t="shared" si="5"/>
        <v>320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157</v>
      </c>
      <c r="BD23" s="1198">
        <f t="shared" si="5"/>
        <v>1326</v>
      </c>
      <c r="BE23" s="1198">
        <f t="shared" si="5"/>
        <v>0</v>
      </c>
      <c r="BF23" s="1198">
        <f t="shared" si="5"/>
        <v>0</v>
      </c>
      <c r="BG23" s="1198">
        <f>IF(ISNUMBER(Datos!K23/Datos!J23),Datos!K23/Datos!J23," - ")</f>
        <v>0.79585398828301035</v>
      </c>
      <c r="BH23" s="1202">
        <f>IF(ISNUMBER(((Datos!L23/Datos!K23)*11)/factor_trimestre),((Datos!L23/Datos!K23)*11)/factor_trimestre," - ")</f>
        <v>7.2253680634201594</v>
      </c>
      <c r="BI23" s="1198">
        <f>SUBTOTAL(9,BI16:BI22)</f>
        <v>0.18538322878361813</v>
      </c>
      <c r="BJ23" s="1198">
        <f>SUBTOTAL(9,BJ16:BJ22)</f>
        <v>0</v>
      </c>
      <c r="BK23" s="1198">
        <f>SUBTOTAL(9,BK16:BK22)</f>
        <v>0</v>
      </c>
      <c r="BL23" s="1198">
        <f>IF(ISNUMBER((I23-AB23+L23)/(F23)),(I23-AB23+L23)/(F23)," - ")</f>
        <v>-0.33863854266538829</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5472</v>
      </c>
      <c r="G31" s="1117">
        <f t="shared" si="18"/>
        <v>6648</v>
      </c>
      <c r="H31" s="1119">
        <f t="shared" si="18"/>
        <v>0</v>
      </c>
      <c r="I31" s="1117">
        <f t="shared" si="18"/>
        <v>0</v>
      </c>
      <c r="J31" s="1119">
        <f t="shared" si="18"/>
        <v>0</v>
      </c>
      <c r="K31" s="1119">
        <f t="shared" si="18"/>
        <v>0</v>
      </c>
      <c r="L31" s="1180">
        <f t="shared" si="18"/>
        <v>0</v>
      </c>
      <c r="M31" s="1180">
        <f t="shared" si="18"/>
        <v>0</v>
      </c>
      <c r="N31" s="1180">
        <f t="shared" si="18"/>
        <v>140</v>
      </c>
      <c r="O31" s="1180">
        <f t="shared" si="18"/>
        <v>0</v>
      </c>
      <c r="P31" s="1180">
        <f t="shared" si="18"/>
        <v>0</v>
      </c>
      <c r="Q31" s="1119">
        <f t="shared" si="18"/>
        <v>535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1784</v>
      </c>
      <c r="AC31" s="1118">
        <f t="shared" si="19"/>
        <v>514</v>
      </c>
      <c r="AD31" s="1118">
        <f t="shared" si="19"/>
        <v>0</v>
      </c>
      <c r="AE31" s="1118">
        <f t="shared" si="19"/>
        <v>0</v>
      </c>
      <c r="AF31" s="1125">
        <f t="shared" si="19"/>
        <v>6658</v>
      </c>
      <c r="AG31" s="1125">
        <f t="shared" si="19"/>
        <v>0</v>
      </c>
      <c r="AH31" s="1125">
        <f t="shared" si="19"/>
        <v>369</v>
      </c>
      <c r="AI31" s="1125">
        <f t="shared" si="19"/>
        <v>0</v>
      </c>
      <c r="AJ31" s="1118">
        <f t="shared" si="19"/>
        <v>0</v>
      </c>
      <c r="AK31" s="1125">
        <f t="shared" si="19"/>
        <v>0</v>
      </c>
      <c r="AL31" s="1125">
        <f t="shared" si="19"/>
        <v>0</v>
      </c>
      <c r="AM31" s="1125">
        <f t="shared" si="19"/>
        <v>16197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455</v>
      </c>
      <c r="BD31" s="1117">
        <f t="shared" si="19"/>
        <v>1766</v>
      </c>
      <c r="BE31" s="1117">
        <f t="shared" si="19"/>
        <v>0</v>
      </c>
      <c r="BF31" s="1127">
        <f t="shared" si="19"/>
        <v>0</v>
      </c>
      <c r="BG31" s="1223">
        <f>IF(ISNUMBER(Datos!K31/Datos!J31),Datos!K31/Datos!J31," - ")</f>
        <v>0.71689392188583312</v>
      </c>
      <c r="BH31" s="1223">
        <f>IF(ISNUMBER(((Datos!L31/Datos!K31)*11)/factor_trimestre),((Datos!L31/Datos!K31)*11)/factor_trimestre," - ")</f>
        <v>12.727917472598323</v>
      </c>
      <c r="BI31" s="1103">
        <f>IF(ISNUMBER(Datos!J31/Datos!I31),Datos!J31/Datos!I31," - ")</f>
        <v>0.22930577636459989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-0.32602339181286549</v>
      </c>
      <c r="BM31" s="1188">
        <f>IF(ISNUMBER((Datos!P31-Datos!Q31+R31)/(Datos!R31-Datos!P31+Datos!Q31-R31)),(Datos!P31-Datos!Q31+R31)/(Datos!R31-Datos!P31+Datos!Q31-R31)," - ")</f>
        <v>1.2982195845697329E-3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1899.4285714285713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2629.1706677201464</v>
      </c>
      <c r="G33" s="674">
        <f>IF(ISNUMBER(STDEV(G8:G30)),STDEV(G8:G30),"-")</f>
        <v>2842.5388216136912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788.04075915858448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127.26771557850573</v>
      </c>
      <c r="BD33" s="673"/>
      <c r="BE33" s="673">
        <f>IF(ISNUMBER(STDEV(BE8:BE30)),STDEV(BE8:BE30),"-")</f>
        <v>0</v>
      </c>
      <c r="BF33" s="678">
        <f>IF(ISNUMBER(STDEV(BF8:BF30)),STDEV(BF8:BF30),"-")</f>
        <v>0</v>
      </c>
      <c r="BG33" s="1052">
        <f>IF(ISNUMBER(STDEV(BG8:BG30)),STDEV(BG8:BG30),"-")</f>
        <v>0.13001475194337558</v>
      </c>
      <c r="BH33" s="1058">
        <f>IF(ISNUMBER(STDEV(BH8:BH30)),STDEV(BH8:BH30),"-")</f>
        <v>9.7750318311258937</v>
      </c>
      <c r="BI33" s="273">
        <f>IF(ISNUMBER(STDEV(BI8:BI30)),STDEV(BI8:BI30),"-")</f>
        <v>6.1027852914552039E-2</v>
      </c>
      <c r="BJ33" s="244" t="str">
        <f>IF(ISNUMBER(BL33/BM33),BL33/BM33," - ")</f>
        <v xml:space="preserve"> - </v>
      </c>
      <c r="BK33" s="709"/>
      <c r="BL33" s="681">
        <f>IF(ISNUMBER(STDEV(BL8:BL30)),STDEV(BL8:BL30),"-")</f>
        <v>0.18992862132423133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rXotbK6Khdc8TEAK0tjpNVzKY/3xqLv9HTYzim9evbAkqcaMXLH64C0ul0oDOdGpPBTbbkdNL+R+v2GaF8V0A==" saltValue="agRrk+3D5XI3BERnrGKR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ILLESCAS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257</v>
      </c>
      <c r="G10" s="552">
        <f>IF(ISNUMBER(Datos!I10),Datos!I10," - ")</f>
        <v>257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278</v>
      </c>
      <c r="AB10" s="549"/>
      <c r="AC10" s="549"/>
      <c r="AD10" s="563"/>
      <c r="AE10" s="563">
        <f>IF(ISNUMBER(Datos!R10),Datos!R10," - ")</f>
        <v>205</v>
      </c>
      <c r="AF10" s="693" t="str">
        <f>IF(ISNUMBER(Datos!BV10),Datos!BV10," - ")</f>
        <v xml:space="preserve"> - </v>
      </c>
      <c r="AG10" s="552" t="str">
        <f>IF(ISNUMBER(Datos!DV10),Datos!DV10," - ")</f>
        <v xml:space="preserve"> - </v>
      </c>
      <c r="AH10" s="553"/>
      <c r="AI10" s="554"/>
      <c r="AJ10" s="552">
        <f>IF(ISNUMBER(Datos!M10),Datos!M10," - ")</f>
        <v>7</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30.888888888888889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4.060913705583756E-2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469</v>
      </c>
      <c r="AA12" s="551" t="str">
        <f>IF(ISNUMBER(IF(J_V="SI",Datos!L12,Datos!L12+Datos!AB12)-IF(Monitorios="SI",Datos!CD12,0)),
                          IF(J_V="SI",Datos!L12,Datos!L12+Datos!AB12)-IF(Monitorios="SI",Datos!CD12,0),
                          " - ")</f>
        <v xml:space="preserve"> - </v>
      </c>
      <c r="AB12" s="549"/>
      <c r="AC12" s="549"/>
      <c r="AD12" s="563"/>
      <c r="AE12" s="563">
        <f>IF(ISNUMBER(Datos!R12),Datos!R12," - ")</f>
        <v>15672</v>
      </c>
      <c r="AF12" s="693" t="str">
        <f>IF(ISNUMBER(Datos!BV12),Datos!BV12," - ")</f>
        <v xml:space="preserve"> - </v>
      </c>
      <c r="AG12" s="552" t="str">
        <f>IF(ISNUMBER(Datos!DV12),Datos!DV12," - ")</f>
        <v xml:space="preserve"> - </v>
      </c>
      <c r="AH12" s="553"/>
      <c r="AI12" s="554"/>
      <c r="AJ12" s="552">
        <f>IF(ISNUMBER(Datos!M12),Datos!M12," - ")</f>
        <v>291</v>
      </c>
      <c r="AK12" s="693">
        <f>IF(ISNUMBER(Datos!N12),Datos!N12," - ")</f>
        <v>433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19.053824362606232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1.9146084625694046E-4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257</v>
      </c>
      <c r="G14" s="1197">
        <f>SUBTOTAL(9,G8:G13)</f>
        <v>257</v>
      </c>
      <c r="H14" s="1211"/>
      <c r="I14" s="1197">
        <f t="shared" ref="I14:N14" si="1">SUBTOTAL(9,I8:I13)</f>
        <v>0</v>
      </c>
      <c r="J14" s="1164">
        <f t="shared" si="1"/>
        <v>0</v>
      </c>
      <c r="K14" s="1211">
        <f t="shared" si="1"/>
        <v>0</v>
      </c>
      <c r="L14" s="1211">
        <f t="shared" si="1"/>
        <v>0</v>
      </c>
      <c r="M14" s="1211">
        <f t="shared" si="1"/>
        <v>0</v>
      </c>
      <c r="N14" s="1211">
        <f t="shared" si="1"/>
        <v>480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469</v>
      </c>
      <c r="AA14" s="1199">
        <f t="shared" si="3"/>
        <v>278</v>
      </c>
      <c r="AB14" s="1199">
        <f t="shared" si="3"/>
        <v>0</v>
      </c>
      <c r="AC14" s="1199">
        <f t="shared" si="3"/>
        <v>0</v>
      </c>
      <c r="AD14" s="1199">
        <f t="shared" si="3"/>
        <v>0</v>
      </c>
      <c r="AE14" s="1199">
        <f t="shared" si="3"/>
        <v>15877</v>
      </c>
      <c r="AF14" s="1211">
        <f t="shared" si="3"/>
        <v>0</v>
      </c>
      <c r="AG14" s="1211">
        <f t="shared" si="3"/>
        <v>0</v>
      </c>
      <c r="AH14" s="1211">
        <f t="shared" si="3"/>
        <v>0</v>
      </c>
      <c r="AI14" s="1211">
        <f t="shared" si="3"/>
        <v>0</v>
      </c>
      <c r="AJ14" s="1211">
        <f t="shared" si="3"/>
        <v>298</v>
      </c>
      <c r="AK14" s="1211">
        <f t="shared" si="3"/>
        <v>440</v>
      </c>
      <c r="AL14" s="1211">
        <f t="shared" si="3"/>
        <v>0</v>
      </c>
      <c r="AM14" s="1211">
        <f t="shared" si="3"/>
        <v>0</v>
      </c>
      <c r="AN14" s="1211">
        <f t="shared" si="3"/>
        <v>0</v>
      </c>
      <c r="AO14" s="1203">
        <f>IF(ISNUMBER(((NºAsuntos!I14/NºAsuntos!G14)*11)/factor_trimestre),((NºAsuntos!I14/NºAsuntos!G14)*11)/factor_trimestre," - ")</f>
        <v>19.202797202797203</v>
      </c>
      <c r="AP14" s="1213" t="str">
        <f>IF(ISNUMBER(Datos!CI14/Datos!CJ14),Datos!CI14/Datos!CJ14," - ")</f>
        <v xml:space="preserve"> - </v>
      </c>
      <c r="AQ14" s="1236">
        <f t="shared" ref="AQ14:AV14" si="4">SUBTOTAL(9,AQ9:AQ13)</f>
        <v>0</v>
      </c>
      <c r="AR14" s="1236">
        <f t="shared" si="4"/>
        <v>4.0800597902094504E-2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5215</v>
      </c>
      <c r="G17" s="552">
        <f>IF(ISNUMBER(IF(D_I="SI",Datos!I17,Datos!I17+Datos!AC17)),IF(D_I="SI",Datos!I17,Datos!I17+Datos!AC17)," - ")</f>
        <v>5679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1541</v>
      </c>
      <c r="Z17" s="805">
        <f>IF(ISNUMBER(Datos!Q17),Datos!Q17," - ")</f>
        <v>45</v>
      </c>
      <c r="AA17" s="551">
        <f>IF(ISNUMBER(IF(D_I="SI",Datos!L17,Datos!L17+Datos!AF17)),IF(D_I="SI",Datos!L17,Datos!L17+Datos!AF17)," - ")</f>
        <v>5591</v>
      </c>
      <c r="AB17" s="549"/>
      <c r="AC17" s="549"/>
      <c r="AD17" s="563"/>
      <c r="AE17" s="563">
        <f>IF(ISNUMBER(Datos!R17),Datos!R17," - ")</f>
        <v>315</v>
      </c>
      <c r="AF17" s="693" t="str">
        <f>IF(ISNUMBER(Datos!BV17),Datos!BV17," - ")</f>
        <v xml:space="preserve"> - </v>
      </c>
      <c r="AG17" s="552"/>
      <c r="AH17" s="553"/>
      <c r="AI17" s="554"/>
      <c r="AJ17" s="552">
        <f>IF(ISNUMBER(Datos!M17),Datos!M17," - ")</f>
        <v>135</v>
      </c>
      <c r="AK17" s="693">
        <f>IF(ISNUMBER(Datos!N17),Datos!N17," - ")</f>
        <v>1117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7.2563270603504213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225</v>
      </c>
      <c r="Z18" s="805">
        <f>IF(ISNUMBER(Datos!Q18),Datos!Q18," - ")</f>
        <v>0</v>
      </c>
      <c r="AA18" s="551">
        <f>IF(ISNUMBER(Datos!L18),Datos!L18,"-")</f>
        <v>789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22</v>
      </c>
      <c r="AK18" s="693">
        <f>IF(ISNUMBER(Datos!N18),Datos!N18," - ")</f>
        <v>209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7.0133333333333345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5215</v>
      </c>
      <c r="G23" s="1197">
        <f>SUBTOTAL(9,G16:G22)</f>
        <v>6391</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1766</v>
      </c>
      <c r="Z23" s="1240">
        <f t="shared" si="6"/>
        <v>45</v>
      </c>
      <c r="AA23" s="1240">
        <f t="shared" si="6"/>
        <v>6380</v>
      </c>
      <c r="AB23" s="1240">
        <f t="shared" si="6"/>
        <v>0</v>
      </c>
      <c r="AC23" s="1240">
        <f t="shared" si="6"/>
        <v>0</v>
      </c>
      <c r="AD23" s="1240">
        <f t="shared" si="6"/>
        <v>0</v>
      </c>
      <c r="AE23" s="1240">
        <f t="shared" si="6"/>
        <v>320</v>
      </c>
      <c r="AF23" s="1240">
        <f t="shared" si="6"/>
        <v>0</v>
      </c>
      <c r="AG23" s="1240">
        <f t="shared" si="6"/>
        <v>0</v>
      </c>
      <c r="AH23" s="1240">
        <f t="shared" si="6"/>
        <v>0</v>
      </c>
      <c r="AI23" s="1240">
        <f t="shared" si="6"/>
        <v>0</v>
      </c>
      <c r="AJ23" s="1240">
        <f t="shared" si="6"/>
        <v>157</v>
      </c>
      <c r="AK23" s="1240">
        <f t="shared" si="6"/>
        <v>1326</v>
      </c>
      <c r="AL23" s="1240">
        <f t="shared" si="6"/>
        <v>0</v>
      </c>
      <c r="AM23" s="1240">
        <f t="shared" si="6"/>
        <v>0</v>
      </c>
      <c r="AN23" s="1240">
        <f t="shared" si="6"/>
        <v>0</v>
      </c>
      <c r="AO23" s="1242">
        <f>IF(ISNUMBER(((NºAsuntos!I23/NºAsuntos!G23)*11)/factor_trimestre),((NºAsuntos!I23/NºAsuntos!G23)*11)/factor_trimestre," - ")</f>
        <v>7.2253680634201594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5472</v>
      </c>
      <c r="G31" s="1117">
        <f t="shared" si="12"/>
        <v>6648</v>
      </c>
      <c r="H31" s="1118">
        <f t="shared" si="12"/>
        <v>0</v>
      </c>
      <c r="I31" s="1117">
        <f t="shared" si="12"/>
        <v>0</v>
      </c>
      <c r="J31" s="1119">
        <f t="shared" si="12"/>
        <v>0</v>
      </c>
      <c r="K31" s="1117">
        <f t="shared" si="12"/>
        <v>0</v>
      </c>
      <c r="L31" s="1120">
        <f t="shared" si="12"/>
        <v>0</v>
      </c>
      <c r="M31" s="1117">
        <f t="shared" si="12"/>
        <v>0</v>
      </c>
      <c r="N31" s="1118">
        <f t="shared" si="12"/>
        <v>535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1784</v>
      </c>
      <c r="Z31" s="1124">
        <f t="shared" si="13"/>
        <v>514</v>
      </c>
      <c r="AA31" s="1125">
        <f t="shared" si="13"/>
        <v>6658</v>
      </c>
      <c r="AB31" s="1125">
        <f t="shared" si="13"/>
        <v>0</v>
      </c>
      <c r="AC31" s="1125">
        <f t="shared" si="13"/>
        <v>0</v>
      </c>
      <c r="AD31" s="1126">
        <f t="shared" si="13"/>
        <v>0</v>
      </c>
      <c r="AE31" s="1126">
        <f t="shared" si="13"/>
        <v>16197</v>
      </c>
      <c r="AF31" s="1127">
        <f t="shared" si="13"/>
        <v>0</v>
      </c>
      <c r="AG31" s="1128">
        <f t="shared" si="13"/>
        <v>0</v>
      </c>
      <c r="AH31" s="1129">
        <f t="shared" si="13"/>
        <v>0</v>
      </c>
      <c r="AI31" s="1127">
        <f t="shared" si="13"/>
        <v>0</v>
      </c>
      <c r="AJ31" s="1117">
        <f t="shared" si="13"/>
        <v>455</v>
      </c>
      <c r="AK31" s="1117">
        <f t="shared" si="13"/>
        <v>1766</v>
      </c>
      <c r="AL31" s="1117">
        <f t="shared" si="13"/>
        <v>0</v>
      </c>
      <c r="AM31" s="1130">
        <f t="shared" si="13"/>
        <v>0</v>
      </c>
      <c r="AN31" s="1120">
        <f>IF(ISNUMBER(Datos!K31/Datos!J31),Datos!K31/Datos!J31," - ")</f>
        <v>0.71689392188583312</v>
      </c>
      <c r="AO31" s="1120">
        <f>IF(ISNUMBER(FIND("06",Criterios!A8,1)),(IF(ISNUMBER(((Datos!R31/Datos!Q31)*11)/factor_trimestre),((Datos!R31/Datos!Q31)*11)/factor_trimestre," - ")),(IF(ISNUMBER(((Datos!L31/Datos!K31)*11)/factor_trimestre),((Datos!L31/Datos!K31)*11)/factor_trimestre," - ")))</f>
        <v>12.727917472598323</v>
      </c>
      <c r="AP31" s="1131" t="str">
        <f>IF(ISNUMBER(Datos!CI31/Datos!CJ31),Datos!CI31/Datos!CJ31," - ")</f>
        <v xml:space="preserve"> - </v>
      </c>
      <c r="AQ31" s="1131">
        <f>IF(OR(ISNUMBER(FIND("01",Criterios!A8,1)),ISNUMBER(FIND("02",Criterios!A8,1)),ISNUMBER(FIND("03",Criterios!A8,1)),ISNUMBER(FIND("04",Criterios!A8,1))),(J31-Y31+K31)/(F31-K31),(I31-Y31+K31)/(F31-K31))</f>
        <v>-0.32602339181286549</v>
      </c>
      <c r="AR31" s="1131">
        <f>IF(ISNUMBER((Datos!P31-Datos!Q31+O31)/(Datos!R31-Datos!P31+Datos!Q31-O31)),(Datos!P31-Datos!Q31+O31)/(Datos!R31-Datos!P31+Datos!Q31-O31)," - ")</f>
        <v>1.2982195845697329E-3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1899.4285714285713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2629.1706677201464</v>
      </c>
      <c r="G33" s="674">
        <f>IF(ISNUMBER(STDEV(G8:G30)),STDEV(G8:G30),"-")</f>
        <v>2842.5388216136912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127.26771557850573</v>
      </c>
      <c r="AK33" s="276"/>
      <c r="AL33" s="276">
        <f>IF(ISNUMBER(STDEV(AL8:AL30)),STDEV(AL8:AL30),"-")</f>
        <v>0</v>
      </c>
      <c r="AM33" s="278">
        <f>IF(ISNUMBER(STDEV(AM8:AM30)),STDEV(AM8:AM30),"-")</f>
        <v>0</v>
      </c>
      <c r="AN33" s="660">
        <f>IF(ISNUMBER(STDEV(AN8:AN30)),STDEV(AN8:AN30),"-")</f>
        <v>0</v>
      </c>
      <c r="AO33" s="661">
        <f>IF(ISNUMBER(STDEV(AO8:AO30)),STDEV(AO8:AO30),"-")</f>
        <v>9.7023875568987048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2FR0ilwvZZjdU8CjE770KGaHlQVxMwtFN8i6oXJUmH00q4XRYcVpsWLlzkWttZ4x2NIkyrkMd/ZaGp9vf09IQ==" saltValue="gNkaSV4gbDdos8BWM4Ov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I5sMCEyUy8G+uqEA1Ho+/AuwvmSQ3avHxg1qZ8NYgY/gpEFFv5WTCVb77pMcspLOsw7bc+t7Wxrwmb/zFMO1Q==" saltValue="BByVg4RA4w5gE6VWbTiN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xqghzpU3Oam/eW6eFUKp9Jtljbiv/zf6Zmgk/S9FuTNCeoEIDqK7wbLGVO3CpayLXskdfOyCWCIf/StjZVrQ==" saltValue="wrldyIVpm+fOm7MujgiK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ILLESCAS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0.20839160839160839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0.14735511943607774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ZOw/oG+v8jVWmuZcxX46/iiFF9NwaIAudujoCO3e7mfgFuQEosIJJHLo+JUeQ09wNiZbbxqkUmcHCxg02S62w==" saltValue="srE53OCTG/R6DKqbSKpC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xDNOwZhn9dk464I++BcjjPzEr8+IgXlHEAe9WlppUzyu5ZPytzGMF0/+vsG+kDxGV/AwEFXcrN2eTO5BGRbvg==" saltValue="5684zc23jSgCW1053kXh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ILLESCAS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257</v>
      </c>
      <c r="D10" s="452">
        <f>IF(ISNUMBER(C10/Datos!BH10),C10/Datos!BH10," - ")</f>
        <v>257</v>
      </c>
      <c r="E10" s="451">
        <f>IF(ISNUMBER(Datos!J10),Datos!J10," - ")</f>
        <v>39</v>
      </c>
      <c r="F10" s="452">
        <f>IF(ISNUMBER(E10/B10),E10/B10," - ")</f>
        <v>39</v>
      </c>
      <c r="G10" s="451">
        <f>IF(ISNUMBER(Datos!K10),Datos!K10," - ")</f>
        <v>18</v>
      </c>
      <c r="H10" s="452">
        <f>IF(ISNUMBER(G10/B10),G10/B10," - ")</f>
        <v>18</v>
      </c>
      <c r="I10" s="451">
        <f>IF(ISNUMBER(Datos!L10),Datos!L10," - ")</f>
        <v>278</v>
      </c>
      <c r="J10" s="452">
        <f>IF(ISNUMBER(I10/B10),I10/B10," - ")</f>
        <v>278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12545</v>
      </c>
      <c r="D12" s="452">
        <f>IF(ISNUMBER(C12/Datos!BH12),C12/Datos!BH12," - ")</f>
        <v>1792.1428571428571</v>
      </c>
      <c r="E12" s="451">
        <f>IF(ISNUMBER(IF(J_V="SI",Datos!J12,Datos!J12+Datos!Z12)),IF(J_V="SI",Datos!J12,Datos!J12+Datos!Z12)," - ")</f>
        <v>2209</v>
      </c>
      <c r="F12" s="452">
        <f>IF(ISNUMBER(E12/B12),E12/B12," - ")</f>
        <v>315.57142857142856</v>
      </c>
      <c r="G12" s="451">
        <f>IF(ISNUMBER(IF(J_V="SI",Datos!K12,Datos!K12+Datos!AA12)),IF(J_V="SI",Datos!K12,Datos!K12+Datos!AA12)," - ")</f>
        <v>1412</v>
      </c>
      <c r="H12" s="452">
        <f>IF(ISNUMBER(G12/B12),G12/B12," - ")</f>
        <v>201.71428571428572</v>
      </c>
      <c r="I12" s="451">
        <f>IF(ISNUMBER(IF(J_V="SI",Datos!L12,Datos!L12+Datos!AB12)),IF(J_V="SI",Datos!L12,Datos!L12+Datos!AB12)," - ")</f>
        <v>13452</v>
      </c>
      <c r="J12" s="452">
        <f>IF(ISNUMBER(I12/B12),I12/B12," - ")</f>
        <v>1921.7142857142858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12802</v>
      </c>
      <c r="D14" s="1147" t="str">
        <f>IF(ISNUMBER(C14/Datos!BI14),C14/Datos!BI14," - ")</f>
        <v xml:space="preserve"> - </v>
      </c>
      <c r="E14" s="1146">
        <f>SUBTOTAL(9,E8:E13)</f>
        <v>2248</v>
      </c>
      <c r="F14" s="1147">
        <f>IF(ISNUMBER(E14/B14),E14/B14," - ")</f>
        <v>321.14285714285717</v>
      </c>
      <c r="G14" s="1146">
        <f>SUBTOTAL(9,G8:G13)</f>
        <v>1430</v>
      </c>
      <c r="H14" s="1147">
        <f>IF(ISNUMBER(G14/B14),G14/B14," - ")</f>
        <v>204.28571428571428</v>
      </c>
      <c r="I14" s="1146">
        <f>SUBTOTAL(9,I8:I13)</f>
        <v>13730</v>
      </c>
      <c r="J14" s="1147">
        <f>IF(ISNUMBER(I14/B14),I14/B14," - ")</f>
        <v>1961.4285714285713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5679</v>
      </c>
      <c r="D17" s="452">
        <f>IF(ISNUMBER(C17/Datos!BH17),C17/Datos!BH17," - ")</f>
        <v>811.28571428571433</v>
      </c>
      <c r="E17" s="451">
        <f>IF(ISNUMBER(IF(D_I="SI",Datos!J17,Datos!J17+Datos!AD17)),IF(D_I="SI",Datos!J17,Datos!J17+Datos!AD17)," - ")</f>
        <v>1917</v>
      </c>
      <c r="F17" s="452">
        <f>IF(ISNUMBER(E17/B17),E17/B17," - ")</f>
        <v>273.85714285714283</v>
      </c>
      <c r="G17" s="451">
        <f>IF(ISNUMBER(IF(D_I="SI",Datos!K17,Datos!K17+Datos!AE17)),IF(D_I="SI",Datos!K17,Datos!K17+Datos!AE17)," - ")</f>
        <v>1541</v>
      </c>
      <c r="H17" s="452">
        <f>IF(ISNUMBER(G17/B17),G17/B17," - ")</f>
        <v>220.14285714285714</v>
      </c>
      <c r="I17" s="451">
        <f>IF(ISNUMBER(IF(D_I="SI",Datos!L17,Datos!L17+Datos!AF17)),IF(D_I="SI",Datos!L17,Datos!L17+Datos!AF17)," - ")</f>
        <v>5591</v>
      </c>
      <c r="J17" s="452">
        <f>IF(ISNUMBER(I17/B17),I17/B17," - ")</f>
        <v>798.71428571428567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712</v>
      </c>
      <c r="D18" s="452">
        <f>IF(ISNUMBER(C18/Datos!BH18),C18/Datos!BH18," - ")</f>
        <v>712</v>
      </c>
      <c r="E18" s="451">
        <f>IF(ISNUMBER(IF(D_I="SI",Datos!J18,Datos!J18+Datos!AD18)),IF(D_I="SI",Datos!J18,Datos!J18+Datos!AD18)," - ")</f>
        <v>302</v>
      </c>
      <c r="F18" s="452">
        <f>IF(ISNUMBER(E18/B18),E18/B18," - ")</f>
        <v>302</v>
      </c>
      <c r="G18" s="451">
        <f>IF(ISNUMBER(IF(D_I="SI",Datos!K18,Datos!K18+Datos!AE18)),IF(D_I="SI",Datos!K18,Datos!K18+Datos!AE18)," - ")</f>
        <v>225</v>
      </c>
      <c r="H18" s="452">
        <f>IF(ISNUMBER(G18/B18),G18/B18," - ")</f>
        <v>225</v>
      </c>
      <c r="I18" s="451">
        <f>IF(ISNUMBER(IF(D_I="SI",Datos!L18,Datos!L18+Datos!AF18)),IF(D_I="SI",Datos!L18,Datos!L18+Datos!AF18)," - ")</f>
        <v>789</v>
      </c>
      <c r="J18" s="452">
        <f>IF(ISNUMBER(I18/B18),I18/B18," - ")</f>
        <v>789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6391</v>
      </c>
      <c r="D23" s="1147" t="str">
        <f>IF(ISNUMBER(C23/Datos!BI23),C23/Datos!BI23," - ")</f>
        <v xml:space="preserve"> - </v>
      </c>
      <c r="E23" s="1146">
        <f>SUBTOTAL(9,E15:E22)</f>
        <v>2219</v>
      </c>
      <c r="F23" s="1147">
        <f>IF(ISNUMBER(E23/B23),E23/B23," - ")</f>
        <v>317</v>
      </c>
      <c r="G23" s="1146">
        <f>SUBTOTAL(9,G15:G22)</f>
        <v>1766</v>
      </c>
      <c r="H23" s="1147">
        <f>IF(ISNUMBER(G23/B23),G23/B23," - ")</f>
        <v>252.28571428571428</v>
      </c>
      <c r="I23" s="1146">
        <f>SUBTOTAL(9,I15:I22)</f>
        <v>6380</v>
      </c>
      <c r="J23" s="1147">
        <f>IF(ISNUMBER(I23/B23),I23/B23," - ")</f>
        <v>911.42857142857144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19193</v>
      </c>
      <c r="D31" s="1085" t="str">
        <f>IF(ISNUMBER(C31/Datos!BI31),C31/Datos!BI31," - ")</f>
        <v xml:space="preserve"> - </v>
      </c>
      <c r="E31" s="1084">
        <f>SUBTOTAL(9,E9:E30)</f>
        <v>4467</v>
      </c>
      <c r="F31" s="1085">
        <f>IF(ISNUMBER(E31/B31),E31/B31," - ")</f>
        <v>638.14285714285711</v>
      </c>
      <c r="G31" s="1084">
        <f>SUBTOTAL(9,G9:G30)</f>
        <v>3196</v>
      </c>
      <c r="H31" s="1085">
        <f>IF(ISNUMBER(G31/B31),G31/B31," - ")</f>
        <v>456.57142857142856</v>
      </c>
      <c r="I31" s="1084">
        <f>SUBTOTAL(9,I9:I30)</f>
        <v>20110</v>
      </c>
      <c r="J31" s="1085">
        <f>IF(ISNUMBER(I31/B31),I31/B31," - ")</f>
        <v>2872.8571428571427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8A6H1bb7zmsXr7DK4+e2S0zGEpyLM8tE6z+7waq/Tveiughq3meuvf8uV7wVvQeRmz4/kk93NI7bmhq/s4MAg==" saltValue="FAVwG+ZXpu5BCsYHWED8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ILLESCAS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257</v>
      </c>
      <c r="G10" s="906">
        <f>IF(ISNUMBER(Datos!I10),Datos!I10," - ")</f>
        <v>257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278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30.888888888888889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291</v>
      </c>
      <c r="AM12" s="914">
        <f>IF(ISNUMBER(Datos!N12+DatosP!N17),Datos!N12+DatosP!N17," - ")</f>
        <v>433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19.053824362606232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1.9146084625694046E-4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257</v>
      </c>
      <c r="G14" s="1256">
        <f t="shared" si="0"/>
        <v>257</v>
      </c>
      <c r="H14" s="1256">
        <f t="shared" si="0"/>
        <v>0</v>
      </c>
      <c r="I14" s="1258">
        <f t="shared" si="0"/>
        <v>0</v>
      </c>
      <c r="J14" s="1257">
        <f t="shared" si="0"/>
        <v>0</v>
      </c>
      <c r="K14" s="1257">
        <f t="shared" si="0"/>
        <v>0</v>
      </c>
      <c r="L14" s="1259">
        <f t="shared" si="0"/>
        <v>0</v>
      </c>
      <c r="M14" s="1259">
        <f t="shared" si="0"/>
        <v>0</v>
      </c>
      <c r="N14" s="1257">
        <f t="shared" si="0"/>
        <v>480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469</v>
      </c>
      <c r="AE14" s="1257">
        <f t="shared" si="1"/>
        <v>0</v>
      </c>
      <c r="AF14" s="1257">
        <f t="shared" si="1"/>
        <v>278</v>
      </c>
      <c r="AG14" s="1257">
        <f t="shared" si="1"/>
        <v>0</v>
      </c>
      <c r="AH14" s="1257">
        <f t="shared" si="1"/>
        <v>15672</v>
      </c>
      <c r="AI14" s="1257">
        <f t="shared" si="1"/>
        <v>0</v>
      </c>
      <c r="AJ14" s="1257">
        <f t="shared" si="1"/>
        <v>0</v>
      </c>
      <c r="AK14" s="1257">
        <f t="shared" si="1"/>
        <v>0</v>
      </c>
      <c r="AL14" s="1257">
        <f t="shared" si="1"/>
        <v>298</v>
      </c>
      <c r="AM14" s="1257">
        <f t="shared" si="1"/>
        <v>440</v>
      </c>
      <c r="AN14" s="1257">
        <f t="shared" si="1"/>
        <v>0</v>
      </c>
      <c r="AO14" s="1257">
        <f t="shared" si="1"/>
        <v>0</v>
      </c>
      <c r="AP14" s="1262">
        <f>IF(ISNUMBER(((Datos!L14/Datos!K14)*11)/factor_trimestre),((Datos!L14/Datos!K14)*11)/factor_trimestre," - ")</f>
        <v>20.001497005988025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-7.0038910505836577E-2</v>
      </c>
      <c r="AU14" s="1257" t="str">
        <f>IF(ISNUMBER((DatosP!#REF!-DatosP!#REF!+DatosP!#REF!)/(DatosP!#REF!+DatosP!#REF!-DatosP!#REF!-DatosP!#REF!)),(DatosP!#REF!-DatosP!#REF!+DatosP!#REF!)/(DatosP!#REF!+DatosP!#REF!-DatosP!#REF!-DatosP!#REF!)," - ")</f>
        <v xml:space="preserve"> - </v>
      </c>
      <c r="AV14" s="1263">
        <f>SUBTOTAL(9,AV9:AV13)</f>
        <v>1.9146084625694046E-4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7.2253680634201594</v>
      </c>
      <c r="AQ23" s="1262">
        <f>IF(ISNUMBER(((Datos!M23/Datos!L23)*11)/factor_trimestre),((Datos!M23/Datos!L23)*11)/factor_trimestre," - ")</f>
        <v>4.921630094043887E-2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-4.792610665737191E-2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257</v>
      </c>
      <c r="G31" s="1278">
        <f t="shared" si="8"/>
        <v>257</v>
      </c>
      <c r="H31" s="1278">
        <f t="shared" si="8"/>
        <v>0</v>
      </c>
      <c r="I31" s="1279">
        <f t="shared" si="8"/>
        <v>0</v>
      </c>
      <c r="J31" s="1280">
        <f t="shared" si="8"/>
        <v>0</v>
      </c>
      <c r="K31" s="1280">
        <f t="shared" si="8"/>
        <v>0</v>
      </c>
      <c r="L31" s="1280">
        <f t="shared" si="8"/>
        <v>0</v>
      </c>
      <c r="M31" s="1280">
        <f t="shared" si="8"/>
        <v>0</v>
      </c>
      <c r="N31" s="1279">
        <f t="shared" si="8"/>
        <v>480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469</v>
      </c>
      <c r="AE31" s="1284">
        <f t="shared" si="9"/>
        <v>0</v>
      </c>
      <c r="AF31" s="1285">
        <f t="shared" si="9"/>
        <v>278</v>
      </c>
      <c r="AG31" s="1285">
        <f t="shared" si="9"/>
        <v>0</v>
      </c>
      <c r="AH31" s="1285">
        <f t="shared" si="9"/>
        <v>15672</v>
      </c>
      <c r="AI31" s="1285">
        <f t="shared" si="9"/>
        <v>0</v>
      </c>
      <c r="AJ31" s="1286">
        <f t="shared" si="9"/>
        <v>0</v>
      </c>
      <c r="AK31" s="1286">
        <f t="shared" si="9"/>
        <v>0</v>
      </c>
      <c r="AL31" s="1278">
        <f t="shared" si="9"/>
        <v>298</v>
      </c>
      <c r="AM31" s="1278">
        <f t="shared" si="9"/>
        <v>440</v>
      </c>
      <c r="AN31" s="1278">
        <f t="shared" si="9"/>
        <v>0</v>
      </c>
      <c r="AO31" s="1278">
        <f t="shared" si="9"/>
        <v>0</v>
      </c>
      <c r="AP31" s="1278">
        <f>IF(ISNUMBER(((Datos!L31/Datos!K31)*11)/factor_trimestre),((Datos!L31/Datos!K31)*11)/factor_trimestre," - ")</f>
        <v>12.727917472598323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-7.0038910505836577E-2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1.2982195845697329E-3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140.7646972788277</v>
      </c>
      <c r="G33" s="1007">
        <f>IF(ISNUMBER(STDEV(G8:G30)),STDEV(G8:G30),"-")</f>
        <v>140.7646972788277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151.21596035692355</v>
      </c>
      <c r="AM33" s="1006"/>
      <c r="AN33" s="1006">
        <f>IF(ISNUMBER(STDEV(AN8:AN30)),STDEV(AN8:AN30),"-")</f>
        <v>0</v>
      </c>
      <c r="AO33" s="1012">
        <f>IF(ISNUMBER(STDEV(AO8:AO30)),STDEV(AO8:AO30),"-")</f>
        <v>0</v>
      </c>
      <c r="AP33" s="1065">
        <f>IF(ISNUMBER(STDEV(AP8:AP30)),STDEV(AP8:AP30),"-")</f>
        <v>9.6721516256226145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R+uhSctuWdXzKLHJsvRarMm70hwI/f2HEFrDEcEO1FRynMTN+5TI0u3DCtIbkshMpIGlmT617ivW2sTjM0SxA==" saltValue="TnE3Rz1O1NcG2/PCILtL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ILLESCAS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ZlFz04v55ppVmnVB7aE2amUsif8nPiQFkBD4MTPInG8yuQ7F45RcF3GHUNzrbklN0ujSuxz+vRQXpSVNOoHVQ==" saltValue="CVC2cnlyNIW9Qrjv+FTV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ILLESCAS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7</v>
      </c>
      <c r="G10" s="452">
        <f>IF(ISNUMBER(F10/B10),F10/B10," - ")</f>
        <v>7</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291</v>
      </c>
      <c r="E12" s="452">
        <f t="shared" si="0"/>
        <v>41.571428571428569</v>
      </c>
      <c r="F12" s="451">
        <f>IF(ISNUMBER(Datos!N12),Datos!N12," - ")</f>
        <v>433</v>
      </c>
      <c r="G12" s="452">
        <f t="shared" si="1"/>
        <v>61.857142857142854</v>
      </c>
      <c r="H12" s="451">
        <f>IF(ISNUMBER(Datos!O12),Datos!O12," - ")</f>
        <v>614</v>
      </c>
      <c r="I12" s="452">
        <f t="shared" si="2"/>
        <v>87.714285714285708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298</v>
      </c>
      <c r="E14" s="1147">
        <f t="shared" si="0"/>
        <v>37.25</v>
      </c>
      <c r="F14" s="1146">
        <f>SUBTOTAL(9,F9:F13)</f>
        <v>440</v>
      </c>
      <c r="G14" s="1147">
        <f t="shared" si="1"/>
        <v>55</v>
      </c>
      <c r="H14" s="1146">
        <f>SUBTOTAL(9,H9:H13)</f>
        <v>616</v>
      </c>
      <c r="I14" s="1147">
        <f>IF(ISNUMBER(H14/B14),H14/B14," - ")</f>
        <v>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135</v>
      </c>
      <c r="E17" s="452">
        <f t="shared" si="3"/>
        <v>19.285714285714285</v>
      </c>
      <c r="F17" s="451">
        <f>IF(ISNUMBER(Datos!N17),Datos!N17," - ")</f>
        <v>1117</v>
      </c>
      <c r="G17" s="452">
        <f t="shared" si="4"/>
        <v>159.57142857142858</v>
      </c>
      <c r="H17" s="451">
        <f>IF(ISNUMBER(Datos!O17),Datos!O17," - ")</f>
        <v>6</v>
      </c>
      <c r="I17" s="452">
        <f t="shared" si="5"/>
        <v>0.8571428571428571</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209</v>
      </c>
      <c r="G18" s="452">
        <f>IF(ISNUMBER(F18/B18),F18/B18," - ")</f>
        <v>209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157</v>
      </c>
      <c r="E23" s="1147">
        <f t="shared" si="3"/>
        <v>19.625</v>
      </c>
      <c r="F23" s="1146">
        <f>SUBTOTAL(9,F16:F22)</f>
        <v>1326</v>
      </c>
      <c r="G23" s="1147">
        <f t="shared" si="4"/>
        <v>165.75</v>
      </c>
      <c r="H23" s="1146">
        <f>SUBTOTAL(9,H16:H22)</f>
        <v>6</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455</v>
      </c>
      <c r="E31" s="1085">
        <f>IF(ISNUMBER(D31/B31),D31/B31," - ")</f>
        <v>65</v>
      </c>
      <c r="F31" s="1084">
        <f>SUBTOTAL(9,F8:F30)</f>
        <v>1766</v>
      </c>
      <c r="G31" s="1085">
        <f>IF(ISNUMBER(F31/B31),F31/B31," - ")</f>
        <v>252.28571428571428</v>
      </c>
      <c r="H31" s="1084">
        <f>SUBTOTAL(9,H8:H30)</f>
        <v>622</v>
      </c>
      <c r="I31" s="1085">
        <f>IF(ISNUMBER(H31/B31),H31/B31," - ")</f>
        <v>88.857142857142861</v>
      </c>
    </row>
    <row r="34" spans="1:1">
      <c r="A34" s="439" t="str">
        <f>Criterios!A4</f>
        <v>Fecha Informe: 06 may. 2023</v>
      </c>
    </row>
    <row r="39" spans="1:1">
      <c r="A39" s="462"/>
    </row>
  </sheetData>
  <sheetProtection algorithmName="SHA-512" hashValue="RlewHJqujgi1uXE5d/vwvEHH92vjXTuZLS2CyCaw4VNXFXOrryZHzFp0mkctXTthUsl+/hLlJHQfMzTCfzRjOQ==" saltValue="69VxvCOVSNPsSIrFvBkb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ILLESCAS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0</v>
      </c>
      <c r="D10" s="456">
        <f>IF(ISNUMBER(Datos!R10),Datos!R10," - ")</f>
        <v>205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472</v>
      </c>
      <c r="C12" s="489">
        <f>IF(ISNUMBER(Datos!Q12),Datos!Q12," - ")</f>
        <v>469</v>
      </c>
      <c r="D12" s="456">
        <f>IF(ISNUMBER(Datos!R12),Datos!R12," - ")</f>
        <v>15672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480</v>
      </c>
      <c r="C14" s="1150">
        <f>SUBTOTAL(9,C9:C13)</f>
        <v>469</v>
      </c>
      <c r="D14" s="1148">
        <f>SUBTOTAL(9,D9:D13)</f>
        <v>15877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45</v>
      </c>
      <c r="D17" s="456">
        <f>IF(ISNUMBER(Datos!R17),Datos!R17," - ")</f>
        <v>315</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45</v>
      </c>
      <c r="D23" s="1148">
        <f>SUBTOTAL(9,D16:D22)</f>
        <v>320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535</v>
      </c>
      <c r="C31" s="1089">
        <f>SUBTOTAL(9,C8:C30)</f>
        <v>514</v>
      </c>
      <c r="D31" s="1090">
        <f>SUBTOTAL(9,D8:D30)</f>
        <v>16197</v>
      </c>
    </row>
    <row r="32" spans="1:4" ht="7.5" customHeight="1"/>
    <row r="33" spans="1:1" ht="6" customHeight="1"/>
    <row r="34" spans="1:1">
      <c r="A34" s="439" t="str">
        <f>Criterios!A4</f>
        <v>Fecha Informe: 06 may. 2023</v>
      </c>
    </row>
    <row r="39" spans="1:1">
      <c r="A39" s="462"/>
    </row>
  </sheetData>
  <sheetProtection algorithmName="SHA-512" hashValue="ix8vqOid51eQg9Yyyj6UuxN6RGtmm+1duT03TRu5gbcZ0JHczIob3BWZcP7mlRujY91nahA+s3ZUidS6Z5RB9A==" saltValue="T/0mucgu/BtUmMBmeZZV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ILLESCAS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0.10300429184549356</v>
      </c>
      <c r="C10" s="515">
        <f>IF(ISNUMBER((Datos!J10-Datos!T10)/Datos!T10),(Datos!J10-Datos!T10)/Datos!T10," - ")</f>
        <v>-0.20408163265306123</v>
      </c>
      <c r="D10" s="515">
        <f>IF(ISNUMBER((Datos!K10-Datos!U10)/Datos!U10),(Datos!K10-Datos!U10)/Datos!U10," - ")</f>
        <v>-0.47058823529411764</v>
      </c>
      <c r="E10" s="515">
        <f>IF(ISNUMBER((Datos!L10-Datos!V10)/Datos!V10),(Datos!L10-Datos!V10)/Datos!V10," - ")</f>
        <v>0.12096774193548387</v>
      </c>
      <c r="F10" s="515">
        <f>IF(ISNUMBER((Datos!M10-Datos!W10)/Datos!W10),(Datos!M10-Datos!W10)/Datos!W10," - ")</f>
        <v>-0.5</v>
      </c>
      <c r="G10" s="516">
        <f>IF(ISNUMBER((Datos!N10-Datos!X10)/Datos!X10),(Datos!N10-Datos!X10)/Datos!X10," - ")</f>
        <v>-0.41666666666666669</v>
      </c>
      <c r="H10" s="514">
        <f>IF(ISNUMBER(((NºAsuntos!G10/NºAsuntos!E10)-Datos!BD10)/Datos!BD10),((NºAsuntos!G10/NºAsuntos!E10)-Datos!BD10)/Datos!BD10," - ")</f>
        <v>-0.33484162895927599</v>
      </c>
      <c r="I10" s="515">
        <f>IF(ISNUMBER(((NºAsuntos!I10/NºAsuntos!G10)-Datos!BE10)/Datos!BE10),((NºAsuntos!I10/NºAsuntos!G10)-Datos!BE10)/Datos!BE10," - ")</f>
        <v>1.1173835125448028</v>
      </c>
      <c r="J10" s="521">
        <f>IF(ISNUMBER((('Resol  Asuntos'!D10/NºAsuntos!G10)-Datos!BF10)/Datos!BF10),(('Resol  Asuntos'!D10/NºAsuntos!G10)-Datos!BF10)/Datos!BF10," - ")</f>
        <v>-5.5555555555555497E-2</v>
      </c>
      <c r="K10" s="522">
        <f>IF(ISNUMBER((((NºAsuntos!C10+NºAsuntos!E10)/NºAsuntos!G10)-Datos!BG10)/Datos!BG10),(((NºAsuntos!C10+NºAsuntos!E10)/NºAsuntos!G10)-Datos!BG10)/Datos!BG10," - ")</f>
        <v>0.98266351457840784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0.42233560090702948</v>
      </c>
      <c r="C12" s="515">
        <f>IF(ISNUMBER(
   IF(J_V="SI",(Datos!J12-Datos!T12)/Datos!T12,(Datos!J12+Datos!Z12-(Datos!T12+Datos!AH12))/(Datos!T12+Datos!AH12))
     ),IF(J_V="SI",(Datos!J12-Datos!T12)/Datos!T12,(Datos!J12+Datos!Z12-(Datos!T12+Datos!AH12))/(Datos!T12+Datos!AH12))," - ")</f>
        <v>-0.27407163982911603</v>
      </c>
      <c r="D12" s="515">
        <f>IF(ISNUMBER(
   IF(J_V="SI",(Datos!K12-Datos!U12)/Datos!U12,(Datos!K12+Datos!AA12-(Datos!U12+Datos!AI12))/(Datos!U12+Datos!AI12))
     ),IF(J_V="SI",(Datos!K12-Datos!U12)/Datos!U12,(Datos!K12+Datos!AA12-(Datos!U12+Datos!AI12))/(Datos!U12+Datos!AI12))," - ")</f>
        <v>0.14796747967479676</v>
      </c>
      <c r="E12" s="515">
        <f>IF(ISNUMBER(
   IF(J_V="SI",(Datos!L12-Datos!V12)/Datos!V12,(Datos!L12+Datos!AB12-(Datos!V12+Datos!AJ12))/(Datos!V12+Datos!AJ12))
     ),IF(J_V="SI",(Datos!L12-Datos!V12)/Datos!V12,(Datos!L12+Datos!AB12-(Datos!V12+Datos!AJ12))/(Datos!V12+Datos!AJ12))," - ")</f>
        <v>0.26750212004145857</v>
      </c>
      <c r="F12" s="515">
        <f>IF(ISNUMBER((Datos!M12-Datos!W12)/Datos!W12),(Datos!M12-Datos!W12)/Datos!W12," - ")</f>
        <v>0.31674208144796379</v>
      </c>
      <c r="G12" s="516">
        <f>IF(ISNUMBER((Datos!N12-Datos!X12)/Datos!X12),(Datos!N12-Datos!X12)/Datos!X12," - ")</f>
        <v>-0.12525252525252525</v>
      </c>
      <c r="H12" s="514">
        <f>IF(ISNUMBER(((NºAsuntos!G12/NºAsuntos!E12)-Datos!BD12)/Datos!BD12),((NºAsuntos!G12/NºAsuntos!E12)-Datos!BD12)/Datos!BD12," - ")</f>
        <v>0.5813784701903153</v>
      </c>
      <c r="I12" s="515">
        <f>IF(ISNUMBER(((NºAsuntos!I12/NºAsuntos!G12)-Datos!BE12)/Datos!BE12),((NºAsuntos!I12/NºAsuntos!G12)-Datos!BE12)/Datos!BE12," - ")</f>
        <v>0.10412720088597305</v>
      </c>
      <c r="J12" s="521">
        <f>IF(ISNUMBER((('Resol  Asuntos'!D12/NºAsuntos!G12)-Datos!BF12)/Datos!BF12),(('Resol  Asuntos'!D12/NºAsuntos!G12)-Datos!BF12)/Datos!BF12," - ")</f>
        <v>-0.48789595673448366</v>
      </c>
      <c r="K12" s="522">
        <f>IF(ISNUMBER((((NºAsuntos!C12+NºAsuntos!E12)/NºAsuntos!G12)-Datos!BG12)/Datos!BG12),(((NºAsuntos!C12+NºAsuntos!E12)/NºAsuntos!G12)-Datos!BG12)/Datos!BG12," - ")</f>
        <v>8.3392097551866426E-2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0.41411686733679443</v>
      </c>
      <c r="C14" s="1152">
        <f>IF(ISNUMBER(
   IF(J_V="SI",(Datos!J14-Datos!T14)/Datos!T14,(Datos!J14+Datos!Z14-(Datos!T14+Datos!AH14))/(Datos!T14+Datos!AH14))
     ),IF(J_V="SI",(Datos!J14-Datos!T14)/Datos!T14,(Datos!J14+Datos!Z14-(Datos!T14+Datos!AH14))/(Datos!T14+Datos!AH14))," - ")</f>
        <v>-0.27296248382923671</v>
      </c>
      <c r="D14" s="1152">
        <f>IF(ISNUMBER(
   IF(J_V="SI",(Datos!K14-Datos!U14)/Datos!U14,(Datos!K14+Datos!AA14-(Datos!U14+Datos!AI14))/(Datos!U14+Datos!AI14))
     ),IF(J_V="SI",(Datos!K14-Datos!U14)/Datos!U14,(Datos!K14+Datos!AA14-(Datos!U14+Datos!AI14))/(Datos!U14+Datos!AI14))," - ")</f>
        <v>0.13132911392405064</v>
      </c>
      <c r="E14" s="1152">
        <f>IF(ISNUMBER(
   IF(J_V="SI",(Datos!L14-Datos!V14)/Datos!V14,(Datos!L14+Datos!AB14-(Datos!V14+Datos!AJ14))/(Datos!V14+Datos!AJ14))
     ),IF(J_V="SI",(Datos!L14-Datos!V14)/Datos!V14,(Datos!L14+Datos!AB14-(Datos!V14+Datos!AJ14))/(Datos!V14+Datos!AJ14))," - ")</f>
        <v>0.26415615505017953</v>
      </c>
      <c r="F14" s="1153">
        <f>IF(ISNUMBER((Datos!M14-Datos!W14)/Datos!W14),(Datos!M14-Datos!W14)/Datos!W14," - ")</f>
        <v>0.26808510638297872</v>
      </c>
      <c r="G14" s="1154">
        <f>IF(ISNUMBER((Datos!N14-Datos!X14)/Datos!X14),(Datos!N14-Datos!X14)/Datos!X14," - ")</f>
        <v>-0.13214990138067062</v>
      </c>
      <c r="H14" s="1154">
        <f>IF(ISNUMBER(((NºAsuntos!G14/NºAsuntos!E14)-Datos!BD14)/Datos!BD14),((NºAsuntos!G14/NºAsuntos!E14)-Datos!BD14)/Datos!BD14," - ")</f>
        <v>0.55608079192756432</v>
      </c>
      <c r="I14" s="1154">
        <f>IF(ISNUMBER(((NºAsuntos!I14/NºAsuntos!G14)-Datos!BE14)/Datos!BE14),((NºAsuntos!I14/NºAsuntos!G14)-Datos!BE14)/Datos!BE14," - ")</f>
        <v>0.11740795803036848</v>
      </c>
      <c r="J14" s="1154">
        <f>IF(ISNUMBER((('Resol  Asuntos'!D14/NºAsuntos!G14)-Datos!BF14)/Datos!BF14),(('Resol  Asuntos'!D14/NºAsuntos!G14)-Datos!BF14)/Datos!BF14," - ")</f>
        <v>-0.48250099605698815</v>
      </c>
      <c r="K14" s="1154">
        <f>IF(ISNUMBER((((NºAsuntos!C14+NºAsuntos!E14)/NºAsuntos!G14)-Datos!BG14)/Datos!BG14),(((NºAsuntos!C14+NºAsuntos!E14)/NºAsuntos!G14)-Datos!BG14)/Datos!BG14," - ")</f>
        <v>9.5342697648173214E-2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0.17699481865284974</v>
      </c>
      <c r="C17" s="515">
        <f>IF(ISNUMBER(
   IF(D_I="SI",(Datos!J17-Datos!T17)/Datos!T17,(Datos!J17+Datos!AD17-(Datos!T17+Datos!AL17))/(Datos!T17+Datos!AL17))
     ),IF(D_I="SI",(Datos!J17-Datos!T17)/Datos!T17,(Datos!J17+Datos!AD17-(Datos!T17+Datos!AL17))/(Datos!T17+Datos!AL17))," - ")</f>
        <v>-4.9107142857142856E-2</v>
      </c>
      <c r="D17" s="515">
        <f>IF(ISNUMBER(
   IF(D_I="SI",(Datos!K17-Datos!U17)/Datos!U17,(Datos!K17+Datos!AE17-(Datos!U17+Datos!AM17))/(Datos!U17+Datos!AM17))
     ),IF(D_I="SI",(Datos!K17-Datos!U17)/Datos!U17,(Datos!K17+Datos!AE17-(Datos!U17+Datos!AM17))/(Datos!U17+Datos!AM17))," - ")</f>
        <v>-6.549423893268648E-2</v>
      </c>
      <c r="E17" s="515">
        <f>IF(ISNUMBER(
   IF(D_I="SI",(Datos!L17-Datos!V17)/Datos!V17,(Datos!L17+Datos!AF17-(Datos!V17+Datos!AN17))/(Datos!V17+Datos!AN17))
     ),IF(D_I="SI",(Datos!L17-Datos!V17)/Datos!V17,(Datos!L17+Datos!AF17-(Datos!V17+Datos!AN17))/(Datos!V17+Datos!AN17))," - ")</f>
        <v>0.1456967213114754</v>
      </c>
      <c r="F17" s="515">
        <f>IF(ISNUMBER((Datos!M17-Datos!W17)/Datos!W17),(Datos!M17-Datos!W17)/Datos!W17," - ")</f>
        <v>-0.16666666666666666</v>
      </c>
      <c r="G17" s="516">
        <f>IF(ISNUMBER((Datos!N17-Datos!X17)/Datos!X17),(Datos!N17-Datos!X17)/Datos!X17," - ")</f>
        <v>-8.0658436213991769E-2</v>
      </c>
      <c r="H17" s="514">
        <f>IF(ISNUMBER(((NºAsuntos!G17/NºAsuntos!E17)-Datos!BD17)/Datos!BD17),((NºAsuntos!G17/NºAsuntos!E17)-Datos!BD17)/Datos!BD17," - ")</f>
        <v>-1.723337803249653E-2</v>
      </c>
      <c r="I17" s="515">
        <f>IF(ISNUMBER(((NºAsuntos!I17/NºAsuntos!G17)-Datos!BE17)/Datos!BE17),((NºAsuntos!I17/NºAsuntos!G17)-Datos!BE17)/Datos!BE17," - ")</f>
        <v>0.22599214370059895</v>
      </c>
      <c r="J17" s="521">
        <f>IF(ISNUMBER((('Resol  Asuntos'!D17/NºAsuntos!G17)-Datos!BF17)/Datos!BF17),(('Resol  Asuntos'!D17/NºAsuntos!G17)-Datos!BF17)/Datos!BF17," - ")</f>
        <v>-0.10826303266277314</v>
      </c>
      <c r="K17" s="522">
        <f>IF(ISNUMBER((((NºAsuntos!C17+NºAsuntos!E17)/NºAsuntos!G17)-Datos!BG17)/Datos!BG17),(((NºAsuntos!C17+NºAsuntos!E17)/NºAsuntos!G17)-Datos!BG17)/Datos!BG17," - ")</f>
        <v>0.18818313180416449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0.11598746081504702</v>
      </c>
      <c r="C18" s="515">
        <f>IF(ISNUMBER(
   IF(D_I="SI",(Datos!J18-Datos!T18)/Datos!T18,(Datos!J18+Datos!AD18-(Datos!T18+Datos!AL18))/(Datos!T18+Datos!AL18))
     ),IF(D_I="SI",(Datos!J18-Datos!T18)/Datos!T18,(Datos!J18+Datos!AD18-(Datos!T18+Datos!AL18))/(Datos!T18+Datos!AL18))," - ")</f>
        <v>0.11851851851851852</v>
      </c>
      <c r="D18" s="515">
        <f>IF(ISNUMBER(
   IF(D_I="SI",(Datos!K18-Datos!U18)/Datos!U18,(Datos!K18+Datos!AE18-(Datos!U18+Datos!AM18))/(Datos!U18+Datos!AM18))
     ),IF(D_I="SI",(Datos!K18-Datos!U18)/Datos!U18,(Datos!K18+Datos!AE18-(Datos!U18+Datos!AM18))/(Datos!U18+Datos!AM18))," - ")</f>
        <v>-2.1739130434782608E-2</v>
      </c>
      <c r="E18" s="515">
        <f>IF(ISNUMBER(
   IF(D_I="SI",(Datos!L18-Datos!V18)/Datos!V18,(Datos!L18+Datos!AF18-(Datos!V18+Datos!AN18))/(Datos!V18+Datos!AN18))
     ),IF(D_I="SI",(Datos!L18-Datos!V18)/Datos!V18,(Datos!L18+Datos!AF18-(Datos!V18+Datos!AN18))/(Datos!V18+Datos!AN18))," - ")</f>
        <v>0.16371681415929204</v>
      </c>
      <c r="F18" s="515">
        <f>IF(ISNUMBER((Datos!M18-Datos!W18)/Datos!W18),(Datos!M18-Datos!W18)/Datos!W18," - ")</f>
        <v>-0.12</v>
      </c>
      <c r="G18" s="516">
        <f>IF(ISNUMBER((Datos!N18-Datos!X18)/Datos!X18),(Datos!N18-Datos!X18)/Datos!X18," - ")</f>
        <v>0.11170212765957446</v>
      </c>
      <c r="H18" s="514">
        <f>IF(ISNUMBER(((NºAsuntos!G18/NºAsuntos!E18)-Datos!BD18)/Datos!BD18),((NºAsuntos!G18/NºAsuntos!E18)-Datos!BD18)/Datos!BD18," - ")</f>
        <v>-0.12539591131586522</v>
      </c>
      <c r="I18" s="515">
        <f>IF(ISNUMBER(((NºAsuntos!I18/NºAsuntos!G18)-Datos!BE18)/Datos!BE18),((NºAsuntos!I18/NºAsuntos!G18)-Datos!BE18)/Datos!BE18," - ")</f>
        <v>0.18957718780727642</v>
      </c>
      <c r="J18" s="521">
        <f>IF(ISNUMBER((('Resol  Asuntos'!D18/NºAsuntos!G18)-Datos!BF18)/Datos!BF18),(('Resol  Asuntos'!D18/NºAsuntos!G18)-Datos!BF18)/Datos!BF18," - ")</f>
        <v>-0.10044444444444438</v>
      </c>
      <c r="K18" s="522">
        <f>IF(ISNUMBER((((NºAsuntos!C18+NºAsuntos!E18)/NºAsuntos!G18)-Datos!BG18)/Datos!BG18),(((NºAsuntos!C18+NºAsuntos!E18)/NºAsuntos!G18)-Datos!BG18)/Datos!BG18," - ")</f>
        <v>0.14155653450807643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0.16987003477942522</v>
      </c>
      <c r="C23" s="1152">
        <f>IF(ISNUMBER(
   IF(Criterios!B14="SI",(Datos!J23-Datos!T23)/Datos!T23,(Datos!J23+Datos!AD23-(Datos!T23+Datos!AL23))/(Datos!T23+Datos!AL23))
     ),IF(Criterios!B14="SI",(Datos!J23-Datos!T23)/Datos!T23,(Datos!J23+Datos!AD23-(Datos!T23+Datos!AL23))/(Datos!T23+Datos!AL23))," - ")</f>
        <v>-2.9308836395450569E-2</v>
      </c>
      <c r="D23" s="1152">
        <f>IF(ISNUMBER(
   IF(Criterios!B14="SI",(Datos!K23-Datos!U23)/Datos!U23,(Datos!K23+Datos!AE23-(Datos!U23+Datos!AM23))/(Datos!U23+Datos!AM23))
     ),IF(Criterios!B14="SI",(Datos!K23-Datos!U23)/Datos!U23,(Datos!K23+Datos!AE23-(Datos!U23+Datos!AM23))/(Datos!U23+Datos!AM23))," - ")</f>
        <v>-6.01383714741884E-2</v>
      </c>
      <c r="E23" s="1152">
        <f>IF(ISNUMBER(
   IF(Criterios!B14="SI",(Datos!L23-Datos!V23)/Datos!V23,(Datos!L23+Datos!AF23-(Datos!V23+Datos!AN23))/(Datos!V23+Datos!AN23))
     ),IF(Criterios!B14="SI",(Datos!L23-Datos!V23)/Datos!V23,(Datos!L23+Datos!AF23-(Datos!V23+Datos!AN23))/(Datos!V23+Datos!AN23))," - ")</f>
        <v>0.14789492623245773</v>
      </c>
      <c r="F23" s="1153">
        <f>IF(ISNUMBER((Datos!M23-Datos!W23)/Datos!W23),(Datos!M23-Datos!W23)/Datos!W23," - ")</f>
        <v>-0.16042780748663102</v>
      </c>
      <c r="G23" s="1154">
        <f>IF(ISNUMBER((Datos!N23-Datos!X23)/Datos!X23),(Datos!N23-Datos!X23)/Datos!X23," - ")</f>
        <v>-5.48823948681397E-2</v>
      </c>
      <c r="H23" s="1154">
        <f>IF(ISNUMBER(((NºAsuntos!G23/NºAsuntos!E23)-Datos!BD23)/Datos!BD23),((NºAsuntos!G23/NºAsuntos!E23)-Datos!BD23)/Datos!BD23," - ")</f>
        <v>-3.1760395308695184E-2</v>
      </c>
      <c r="I23" s="1154">
        <f>IF(ISNUMBER(((NºAsuntos!I23/NºAsuntos!G23)-Datos!BE23)/Datos!BE23),((NºAsuntos!I23/NºAsuntos!G23)-Datos!BE23)/Datos!BE23," - ")</f>
        <v>0.22134460158028765</v>
      </c>
      <c r="J23" s="1154">
        <f>IF(ISNUMBER((('Resol  Asuntos'!D23/NºAsuntos!G23)-Datos!BF23)/Datos!BF23),(('Resol  Asuntos'!D23/NºAsuntos!G23)-Datos!BF23)/Datos!BF23," - ")</f>
        <v>-0.10670659698039629</v>
      </c>
      <c r="K23" s="1154">
        <f>IF(ISNUMBER((((NºAsuntos!C23+NºAsuntos!E23)/NºAsuntos!G23)-Datos!BG23)/Datos!BG23),(((NºAsuntos!C23+NºAsuntos!E23)/NºAsuntos!G23)-Datos!BG23)/Datos!BG23," - ")</f>
        <v>0.18220712218447213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0.32219619729953153</v>
      </c>
      <c r="C31" s="1092">
        <f>IF(ISNUMBER(
   IF(J_V="SI",(Datos!J31-Datos!T31)/Datos!T31,(Datos!J31+Datos!Z31-(Datos!T31+Datos!AH31))/(Datos!T31+Datos!AH31))
     ),IF(J_V="SI",(Datos!J31-Datos!T31)/Datos!T31,(Datos!J31+Datos!Z31-(Datos!T31+Datos!AH31))/(Datos!T31+Datos!AH31))," - ")</f>
        <v>-0.16939382670137598</v>
      </c>
      <c r="D31" s="1092">
        <f>IF(ISNUMBER(
   IF(J_V="SI",(Datos!K31-Datos!U31)/Datos!U31,(Datos!K31+Datos!AA31-(Datos!U31+Datos!AI31))/(Datos!U31+Datos!AI31))
     ),IF(J_V="SI",(Datos!K31-Datos!U31)/Datos!U31,(Datos!K31+Datos!AA31-(Datos!U31+Datos!AI31))/(Datos!U31+Datos!AI31))," - ")</f>
        <v>1.6862869869551385E-2</v>
      </c>
      <c r="E31" s="1092">
        <f>IF(ISNUMBER(
   IF(J_V="SI",(Datos!L31-Datos!V31)/Datos!V31,(Datos!L31+Datos!AB31-(Datos!V31+Datos!AJ31))/(Datos!V31+Datos!AJ31))
     ),IF(J_V="SI",(Datos!L31-Datos!V31)/Datos!V31,(Datos!L31+Datos!AB31-(Datos!V31+Datos!AJ31))/(Datos!V31+Datos!AJ31))," - ")</f>
        <v>0.22480053596443145</v>
      </c>
      <c r="F31" s="1093">
        <f>IF(ISNUMBER((Datos!M31-Datos!W31)/Datos!W31),(Datos!M31-Datos!W31)/Datos!W31," - ")</f>
        <v>7.8199052132701424E-2</v>
      </c>
      <c r="G31" s="1094">
        <f>IF(ISNUMBER((Datos!N31-Datos!X31)/Datos!X31),(Datos!N31-Datos!X31)/Datos!X31," - ")</f>
        <v>-7.5392670157068062E-2</v>
      </c>
      <c r="H31" s="1095">
        <f>IF(ISNUMBER((Tasas!B31-Datos!BD31)/Datos!BD31),(Tasas!B31-Datos!BD31)/Datos!BD31," - ")</f>
        <v>0.22424188810352524</v>
      </c>
      <c r="I31" s="1096">
        <f>IF(ISNUMBER((Tasas!C31-Datos!BE31)/Datos!BE31),(Tasas!C31-Datos!BE31)/Datos!BE31," - ")</f>
        <v>0.20448938815275597</v>
      </c>
      <c r="J31" s="1097">
        <f>IF(ISNUMBER((Tasas!D31-Datos!BF31)/Datos!BF31),(Tasas!D31-Datos!BF31)/Datos!BF31," - ")</f>
        <v>-0.35710541553378505</v>
      </c>
      <c r="K31" s="1097">
        <f>IF(ISNUMBER((Tasas!E31-Datos!BG31)/Datos!BG31),(Tasas!E31-Datos!BG31)/Datos!BG31," - ")</f>
        <v>0.16958081838751632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MyK4DeiqPqGLGzLik2e7rf9+0hLx9eJgeqd30RHI0XVw+HdnxHiug3u60KoJRHF+A6QlnzHsWYt0jQnuE0IUA==" saltValue="FNoGCBXfDbiufmyiF56i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ILLESCAS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0.46153846153846156</v>
      </c>
      <c r="C10" s="498">
        <f>IF(ISNUMBER(NºAsuntos!I10/NºAsuntos!G10),NºAsuntos!I10/NºAsuntos!G10," - ")</f>
        <v>15.444444444444445</v>
      </c>
      <c r="D10" s="499">
        <f>IF(ISNUMBER('Resol  Asuntos'!D10/NºAsuntos!G10),'Resol  Asuntos'!D10/NºAsuntos!G10," - ")</f>
        <v>0.3888888888888889</v>
      </c>
      <c r="E10" s="500">
        <f>IF(ISNUMBER((NºAsuntos!C10+NºAsuntos!E10)/NºAsuntos!G10),(NºAsuntos!C10+NºAsuntos!E10)/NºAsuntos!G10," - ")</f>
        <v>16.444444444444443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0.63920325939339062</v>
      </c>
      <c r="C12" s="498">
        <f>IF(ISNUMBER(NºAsuntos!I12/NºAsuntos!G12),NºAsuntos!I12/NºAsuntos!G12," - ")</f>
        <v>9.5269121813031159</v>
      </c>
      <c r="D12" s="499">
        <f>IF(ISNUMBER('Resol  Asuntos'!D12/NºAsuntos!G12),'Resol  Asuntos'!D12/NºAsuntos!G12," - ")</f>
        <v>0.20609065155807366</v>
      </c>
      <c r="E12" s="500">
        <f>IF(ISNUMBER((NºAsuntos!C12+NºAsuntos!E12)/NºAsuntos!G12),(NºAsuntos!C12+NºAsuntos!E12)/NºAsuntos!G12," - ")</f>
        <v>10.44900849858357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0.63612099644128117</v>
      </c>
      <c r="C14" s="1156">
        <f>IF(ISNUMBER(NºAsuntos!I14/NºAsuntos!G14),NºAsuntos!I14/NºAsuntos!G14," - ")</f>
        <v>9.6013986013986017</v>
      </c>
      <c r="D14" s="1157">
        <f>IF(ISNUMBER('Resol  Asuntos'!D14/NºAsuntos!G14),'Resol  Asuntos'!D14/NºAsuntos!G14," - ")</f>
        <v>0.20839160839160839</v>
      </c>
      <c r="E14" s="1158">
        <f>IF(ISNUMBER((NºAsuntos!C14+NºAsuntos!E14)/NºAsuntos!G14),(NºAsuntos!C14+NºAsuntos!E14)/NºAsuntos!G14," - ")</f>
        <v>10.524475524475525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0.80386019822639543</v>
      </c>
      <c r="C17" s="498">
        <f>IF(ISNUMBER(NºAsuntos!I17/NºAsuntos!G17),NºAsuntos!I17/NºAsuntos!G17," - ")</f>
        <v>3.6281635301752111</v>
      </c>
      <c r="D17" s="499">
        <f>IF(ISNUMBER('Resol  Asuntos'!D17/NºAsuntos!G17),'Resol  Asuntos'!D17/NºAsuntos!G17," - ")</f>
        <v>8.7605451005840357E-2</v>
      </c>
      <c r="E17" s="500">
        <f>IF(ISNUMBER((NºAsuntos!C17+NºAsuntos!E17)/NºAsuntos!G17),(NºAsuntos!C17+NºAsuntos!E17)/NºAsuntos!G17," - ")</f>
        <v>4.9292667099286174</v>
      </c>
      <c r="G17" s="523"/>
    </row>
    <row r="18" spans="1:7">
      <c r="A18" s="450" t="str">
        <f>Datos!A18</f>
        <v>Jdos. Violencia contra la mujer</v>
      </c>
      <c r="B18" s="497">
        <f>IF(ISNUMBER(NºAsuntos!G18/NºAsuntos!E18),NºAsuntos!G18/NºAsuntos!E18," - ")</f>
        <v>0.74503311258278149</v>
      </c>
      <c r="C18" s="498">
        <f>IF(ISNUMBER(NºAsuntos!I18/NºAsuntos!G18),NºAsuntos!I18/NºAsuntos!G18," - ")</f>
        <v>3.5066666666666668</v>
      </c>
      <c r="D18" s="499">
        <f>IF(ISNUMBER('Resol  Asuntos'!D18/NºAsuntos!G18),'Resol  Asuntos'!D18/NºAsuntos!G18," - ")</f>
        <v>9.7777777777777783E-2</v>
      </c>
      <c r="E18" s="500">
        <f>IF(ISNUMBER((NºAsuntos!C18+NºAsuntos!E18)/NºAsuntos!G18),(NºAsuntos!C18+NºAsuntos!E18)/NºAsuntos!G18," - ")</f>
        <v>4.5066666666666668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0.79585398828301035</v>
      </c>
      <c r="C23" s="1156">
        <f>IF(ISNUMBER(NºAsuntos!I23/NºAsuntos!G23),NºAsuntos!I23/NºAsuntos!G23," - ")</f>
        <v>3.6126840317100792</v>
      </c>
      <c r="D23" s="1159">
        <f>IF(ISNUMBER('Resol  Asuntos'!D23/NºAsuntos!G23),'Resol  Asuntos'!D23/NºAsuntos!G23," - ")</f>
        <v>8.8901472253680627E-2</v>
      </c>
      <c r="E23" s="1158">
        <f>IF(ISNUMBER((NºAsuntos!C23+NºAsuntos!E23)/NºAsuntos!G23),(NºAsuntos!C23+NºAsuntos!E23)/NºAsuntos!G23," - ")</f>
        <v>4.8754246885617212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0.71546899485113047</v>
      </c>
      <c r="C31" s="1099">
        <f>IF(ISNUMBER(NºAsuntos!I31/NºAsuntos!G31),NºAsuntos!I31/NºAsuntos!G31," - ")</f>
        <v>6.292240300375469</v>
      </c>
      <c r="D31" s="1100">
        <f>IF(ISNUMBER('Resol  Asuntos'!D31/NºAsuntos!G31),'Resol  Asuntos'!D31/NºAsuntos!G31," - ")</f>
        <v>0.14236545682102628</v>
      </c>
      <c r="E31" s="1101">
        <f>IF(ISNUMBER((NºAsuntos!C31+NºAsuntos!E31)/NºAsuntos!G31),(NºAsuntos!C31+NºAsuntos!E31)/NºAsuntos!G31," - ")</f>
        <v>7.4030037546933665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1mYCJ2rtOtZn28Wi2YAjXTeaUQET/UNQWhFEpZRAsZc0J69tsk6pQnlKiXGOaOkgMhdngR23DaCbwyYJZdA==" saltValue="xpdwByyoH/TZKS5kC9fm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ILLESCAS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257</v>
      </c>
      <c r="G10" s="373">
        <f>IF(ISNUMBER(Datos!I10),Datos!I10," - ")</f>
        <v>257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278</v>
      </c>
      <c r="AB10" s="374">
        <f>IF(ISNUMBER(Datos!R10),Datos!R10," - ")</f>
        <v>205</v>
      </c>
      <c r="AC10" s="374">
        <f t="shared" ref="AC10:AC13" si="1">IF(ISNUMBER(AA10+AB10),AA10+AB10," - ")</f>
        <v>483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0.46153846153846156</v>
      </c>
      <c r="AM10" s="284">
        <f>IF(ISNUMBER(((NºAsuntos!I10/NºAsuntos!G10)*11)/factor_trimestre),((NºAsuntos!I10/NºAsuntos!G10)*11)/factor_trimestre," - ")</f>
        <v>30.888888888888889</v>
      </c>
      <c r="AN10" s="267">
        <f>IF(ISNUMBER('Resol  Asuntos'!D10/NºAsuntos!G10),'Resol  Asuntos'!D10/NºAsuntos!G10," - ")</f>
        <v>0.3888888888888889</v>
      </c>
      <c r="AO10" s="268">
        <f>IF(ISNUMBER((NºAsuntos!C10+NºAsuntos!E10)/NºAsuntos!G10),(NºAsuntos!C10+NºAsuntos!E10)/NºAsuntos!G10," - ")</f>
        <v>16.444444444444443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469</v>
      </c>
      <c r="Y12" s="374">
        <f t="shared" si="0"/>
        <v>469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291</v>
      </c>
      <c r="AJ12" s="243" t="str">
        <f>IF(ISNUMBER(Datos!BW12),Datos!BW12," - ")</f>
        <v xml:space="preserve"> - </v>
      </c>
      <c r="AK12" s="242" t="str">
        <f>IF(ISNUMBER(Datos!BX12),Datos!BX12," - ")</f>
        <v xml:space="preserve"> - </v>
      </c>
      <c r="AL12" s="266">
        <f>IF(ISNUMBER(NºAsuntos!G12/NºAsuntos!E12),NºAsuntos!G12/NºAsuntos!E12," - ")</f>
        <v>0.63920325939339062</v>
      </c>
      <c r="AM12" s="284">
        <f>IF(ISNUMBER(((NºAsuntos!I12/NºAsuntos!G12)*11)/factor_trimestre),((NºAsuntos!I12/NºAsuntos!G12)*11)/factor_trimestre," - ")</f>
        <v>19.053824362606232</v>
      </c>
      <c r="AN12" s="267">
        <f>IF(ISNUMBER('Resol  Asuntos'!D12/NºAsuntos!G12),'Resol  Asuntos'!D12/NºAsuntos!G12," - ")</f>
        <v>0.20609065155807366</v>
      </c>
      <c r="AO12" s="268">
        <f>IF(ISNUMBER((NºAsuntos!C12+NºAsuntos!E12)/NºAsuntos!G12),(NºAsuntos!C12+NºAsuntos!E12)/NºAsuntos!G12," - ")</f>
        <v>10.44900849858357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257</v>
      </c>
      <c r="G14" s="1163">
        <f t="shared" si="5"/>
        <v>257</v>
      </c>
      <c r="H14" s="1162">
        <f t="shared" si="5"/>
        <v>0</v>
      </c>
      <c r="I14" s="1164">
        <f t="shared" si="5"/>
        <v>0</v>
      </c>
      <c r="J14" s="1164">
        <f t="shared" si="5"/>
        <v>0</v>
      </c>
      <c r="K14" s="1164">
        <f t="shared" si="5"/>
        <v>0</v>
      </c>
      <c r="L14" s="1164">
        <f t="shared" si="5"/>
        <v>480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469</v>
      </c>
      <c r="Y14" s="1165">
        <f t="shared" si="6"/>
        <v>487</v>
      </c>
      <c r="Z14" s="1165">
        <f t="shared" si="6"/>
        <v>0</v>
      </c>
      <c r="AA14" s="1165">
        <f t="shared" si="6"/>
        <v>278</v>
      </c>
      <c r="AB14" s="1165">
        <f t="shared" si="6"/>
        <v>15877</v>
      </c>
      <c r="AC14" s="1165">
        <f t="shared" si="6"/>
        <v>483</v>
      </c>
      <c r="AD14" s="1165">
        <f t="shared" si="6"/>
        <v>0</v>
      </c>
      <c r="AE14" s="1169">
        <f t="shared" si="6"/>
        <v>0</v>
      </c>
      <c r="AF14" s="1162">
        <f t="shared" si="6"/>
        <v>0</v>
      </c>
      <c r="AG14" s="1170">
        <f t="shared" si="6"/>
        <v>0</v>
      </c>
      <c r="AH14" s="1167">
        <f t="shared" si="6"/>
        <v>0</v>
      </c>
      <c r="AI14" s="1162">
        <f t="shared" si="6"/>
        <v>298</v>
      </c>
      <c r="AJ14" s="1164">
        <f t="shared" si="6"/>
        <v>0</v>
      </c>
      <c r="AK14" s="1167">
        <f>SUBTOTAL(9,AK9:AK13)</f>
        <v>0</v>
      </c>
      <c r="AL14" s="1171">
        <f>IF(ISNUMBER(NºAsuntos!G14/NºAsuntos!E14),NºAsuntos!G14/NºAsuntos!E14," - ")</f>
        <v>0.63612099644128117</v>
      </c>
      <c r="AM14" s="1171">
        <f>IF(ISNUMBER(((NºAsuntos!I14/NºAsuntos!G14)*11)/factor_trimestre),((NºAsuntos!I14/NºAsuntos!G14)*11)/factor_trimestre," - ")</f>
        <v>19.202797202797203</v>
      </c>
      <c r="AN14" s="1172">
        <f>IF(ISNUMBER('Resol  Asuntos'!D14/NºAsuntos!G14),'Resol  Asuntos'!D14/NºAsuntos!G14," - ")</f>
        <v>0.20839160839160839</v>
      </c>
      <c r="AO14" s="1173">
        <f>IF(ISNUMBER((NºAsuntos!C14+NºAsuntos!E14)/NºAsuntos!G14),(NºAsuntos!C14+NºAsuntos!E14)/NºAsuntos!G14," - ")</f>
        <v>10.524475524475525</v>
      </c>
      <c r="AP14" s="1174" t="str">
        <f t="shared" si="2"/>
        <v xml:space="preserve"> - </v>
      </c>
      <c r="AQ14" s="1174">
        <f>IF(ISNUMBER((H14-W14+K14)/(F14)),(H14-W14+K14)/(F14)," - ")</f>
        <v>-7.0038910505836577E-2</v>
      </c>
      <c r="AR14" s="1175">
        <f>IF(ISNUMBER((Datos!P14-Datos!Q14)/(Datos!R14-Datos!P14+Datos!Q14)),(Datos!P14-Datos!Q14)/(Datos!R14-Datos!P14+Datos!Q14)," - ")</f>
        <v>6.9330644144711961E-4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5215</v>
      </c>
      <c r="G17" s="373">
        <f>IF(ISNUMBER(IF(D_I="SI",Datos!I17,Datos!I17+Datos!AC17)),IF(D_I="SI",Datos!I17,Datos!I17+Datos!AC17)," - ")</f>
        <v>5679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1541</v>
      </c>
      <c r="X17" s="240">
        <f>IF(ISNUMBER(Datos!Q17),Datos!Q17," - ")</f>
        <v>45</v>
      </c>
      <c r="Y17" s="374">
        <f t="shared" ref="Y17:Y22" si="9">SUM(W17:X17)</f>
        <v>1586</v>
      </c>
      <c r="Z17" s="375" t="str">
        <f>IF(ISNUMBER(Datos!CC17),Datos!CC17," - ")</f>
        <v xml:space="preserve"> - </v>
      </c>
      <c r="AA17" s="372">
        <f>IF(ISNUMBER(IF(D_I="SI",Datos!L17,Datos!L17+Datos!AF17)),IF(D_I="SI",Datos!L17,Datos!L17+Datos!AF17)," - ")</f>
        <v>5591</v>
      </c>
      <c r="AB17" s="374">
        <f>IF(ISNUMBER(Datos!R17),Datos!R17," - ")</f>
        <v>315</v>
      </c>
      <c r="AC17" s="374">
        <f t="shared" si="8"/>
        <v>5906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135</v>
      </c>
      <c r="AJ17" s="245" t="str">
        <f>IF(ISNUMBER(Datos!BW17),Datos!BW17," - ")</f>
        <v xml:space="preserve"> - </v>
      </c>
      <c r="AK17" s="246" t="str">
        <f>IF(ISNUMBER(Datos!BX17),Datos!BX17," - ")</f>
        <v xml:space="preserve"> - </v>
      </c>
      <c r="AL17" s="266">
        <f>IF(ISNUMBER(NºAsuntos!G17/NºAsuntos!E17),NºAsuntos!G17/NºAsuntos!E17," - ")</f>
        <v>0.80386019822639543</v>
      </c>
      <c r="AM17" s="284">
        <f>IF(ISNUMBER(((NºAsuntos!I17/NºAsuntos!G17)*11)/factor_trimestre),((NºAsuntos!I17/NºAsuntos!G17)*11)/factor_trimestre," - ")</f>
        <v>7.2563270603504213</v>
      </c>
      <c r="AN17" s="267">
        <f>IF(ISNUMBER('Resol  Asuntos'!D17/NºAsuntos!G17),'Resol  Asuntos'!D17/NºAsuntos!G17," - ")</f>
        <v>8.7605451005840357E-2</v>
      </c>
      <c r="AO17" s="268">
        <f>IF(ISNUMBER((NºAsuntos!C17+NºAsuntos!E17)/NºAsuntos!G17),(NºAsuntos!C17+NºAsuntos!E17)/NºAsuntos!G17," - ")</f>
        <v>4.9292667099286174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225</v>
      </c>
      <c r="X18" s="240">
        <f>IF(ISNUMBER(Datos!Q18),Datos!Q18," - ")</f>
        <v>0</v>
      </c>
      <c r="Y18" s="374">
        <f t="shared" si="9"/>
        <v>225</v>
      </c>
      <c r="Z18" s="375" t="str">
        <f>IF(ISNUMBER(Datos!CC18),Datos!CC18," - ")</f>
        <v xml:space="preserve"> - </v>
      </c>
      <c r="AA18" s="372">
        <f>IF(ISNUMBER(Datos!L18),Datos!L18,"-")</f>
        <v>789</v>
      </c>
      <c r="AB18" s="374">
        <f>IF(ISNUMBER(Datos!R18),Datos!R18," - ")</f>
        <v>5</v>
      </c>
      <c r="AC18" s="374">
        <f t="shared" si="8"/>
        <v>794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0.74503311258278149</v>
      </c>
      <c r="AM18" s="284">
        <f>IF(ISNUMBER(((NºAsuntos!I18/NºAsuntos!G18)*11)/factor_trimestre),((NºAsuntos!I18/NºAsuntos!G18)*11)/factor_trimestre," - ")</f>
        <v>7.0133333333333345</v>
      </c>
      <c r="AN18" s="267">
        <f>IF(ISNUMBER('Resol  Asuntos'!D18/NºAsuntos!G18),'Resol  Asuntos'!D18/NºAsuntos!G18," - ")</f>
        <v>9.7777777777777783E-2</v>
      </c>
      <c r="AO18" s="268">
        <f>IF(ISNUMBER((NºAsuntos!C18+NºAsuntos!E18)/NºAsuntos!G18),(NºAsuntos!C18+NºAsuntos!E18)/NºAsuntos!G18," - ")</f>
        <v>4.5066666666666668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5215</v>
      </c>
      <c r="G23" s="1163">
        <f>SUBTOTAL(9,G16:G22)</f>
        <v>6391</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1766</v>
      </c>
      <c r="X23" s="1164">
        <f t="shared" si="14"/>
        <v>45</v>
      </c>
      <c r="Y23" s="1165">
        <f t="shared" si="14"/>
        <v>1811</v>
      </c>
      <c r="Z23" s="1165">
        <f t="shared" si="14"/>
        <v>0</v>
      </c>
      <c r="AA23" s="1165">
        <f t="shared" si="14"/>
        <v>6380</v>
      </c>
      <c r="AB23" s="1165">
        <f t="shared" si="14"/>
        <v>320</v>
      </c>
      <c r="AC23" s="1165">
        <f t="shared" si="14"/>
        <v>6700</v>
      </c>
      <c r="AD23" s="1165">
        <f t="shared" si="14"/>
        <v>0</v>
      </c>
      <c r="AE23" s="1169">
        <f t="shared" si="14"/>
        <v>0</v>
      </c>
      <c r="AF23" s="1162">
        <f t="shared" si="14"/>
        <v>0</v>
      </c>
      <c r="AG23" s="1170">
        <f t="shared" si="14"/>
        <v>0</v>
      </c>
      <c r="AH23" s="1167">
        <f t="shared" si="14"/>
        <v>0</v>
      </c>
      <c r="AI23" s="1162">
        <f t="shared" si="14"/>
        <v>157</v>
      </c>
      <c r="AJ23" s="1164">
        <f t="shared" si="14"/>
        <v>0</v>
      </c>
      <c r="AK23" s="1167">
        <f t="shared" si="14"/>
        <v>0</v>
      </c>
      <c r="AL23" s="1171">
        <f>IF(ISNUMBER(NºAsuntos!G23/NºAsuntos!E23),NºAsuntos!G23/NºAsuntos!E23," - ")</f>
        <v>0.79585398828301035</v>
      </c>
      <c r="AM23" s="1171">
        <f>IF(ISNUMBER(((NºAsuntos!I23/NºAsuntos!G23)*11)/factor_trimestre),((NºAsuntos!I23/NºAsuntos!G23)*11)/factor_trimestre," - ")</f>
        <v>7.2253680634201594</v>
      </c>
      <c r="AN23" s="1172">
        <f>IF(ISNUMBER('Resol  Asuntos'!D23/NºAsuntos!G23),'Resol  Asuntos'!D23/NºAsuntos!G23," - ")</f>
        <v>8.8901472253680627E-2</v>
      </c>
      <c r="AO23" s="1173">
        <f>IF(ISNUMBER((NºAsuntos!C23+NºAsuntos!E23)/NºAsuntos!G23),(NºAsuntos!C23+NºAsuntos!E23)/NºAsuntos!G23," - ")</f>
        <v>4.8754246885617212</v>
      </c>
      <c r="AP23" s="1174" t="str">
        <f t="shared" si="2"/>
        <v xml:space="preserve"> - </v>
      </c>
      <c r="AQ23" s="1174">
        <f>IF(ISNUMBER((H23-W23+K23)/(F23)),(H23-W23+K23)/(F23)," - ")</f>
        <v>-0.33863854266538829</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5472</v>
      </c>
      <c r="G31" s="1118">
        <f t="shared" si="20"/>
        <v>6648</v>
      </c>
      <c r="H31" s="1117">
        <f t="shared" si="20"/>
        <v>0</v>
      </c>
      <c r="I31" s="1119">
        <f t="shared" si="20"/>
        <v>0</v>
      </c>
      <c r="J31" s="1119">
        <f t="shared" si="20"/>
        <v>0</v>
      </c>
      <c r="K31" s="1180">
        <f t="shared" si="20"/>
        <v>0</v>
      </c>
      <c r="L31" s="1119">
        <f t="shared" si="20"/>
        <v>535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1784</v>
      </c>
      <c r="X31" s="1118">
        <f t="shared" si="21"/>
        <v>514</v>
      </c>
      <c r="Y31" s="1125">
        <f t="shared" si="21"/>
        <v>2298</v>
      </c>
      <c r="Z31" s="1125">
        <f t="shared" si="21"/>
        <v>0</v>
      </c>
      <c r="AA31" s="1125">
        <f t="shared" si="21"/>
        <v>6658</v>
      </c>
      <c r="AB31" s="1125">
        <f t="shared" si="21"/>
        <v>16197</v>
      </c>
      <c r="AC31" s="1125">
        <f t="shared" si="21"/>
        <v>7183</v>
      </c>
      <c r="AD31" s="1125">
        <f t="shared" si="21"/>
        <v>0</v>
      </c>
      <c r="AE31" s="1127">
        <f t="shared" si="21"/>
        <v>0</v>
      </c>
      <c r="AF31" s="1128">
        <f t="shared" si="21"/>
        <v>0</v>
      </c>
      <c r="AG31" s="1129">
        <f t="shared" si="21"/>
        <v>0</v>
      </c>
      <c r="AH31" s="1127">
        <f t="shared" si="21"/>
        <v>0</v>
      </c>
      <c r="AI31" s="1117">
        <f t="shared" si="21"/>
        <v>455</v>
      </c>
      <c r="AJ31" s="1117">
        <f t="shared" si="21"/>
        <v>0</v>
      </c>
      <c r="AK31" s="1127">
        <f t="shared" si="21"/>
        <v>0</v>
      </c>
      <c r="AL31" s="1183">
        <f>IF(ISNUMBER(NºAsuntos!G31/NºAsuntos!E31),NºAsuntos!G31/NºAsuntos!E31," - ")</f>
        <v>0.71546899485113047</v>
      </c>
      <c r="AM31" s="1184">
        <f>IF(ISNUMBER(((NºAsuntos!I31/NºAsuntos!G31)*11)/factor_trimestre),((NºAsuntos!I31/NºAsuntos!G31)*11)/factor_trimestre," - ")</f>
        <v>12.584480600750938</v>
      </c>
      <c r="AN31" s="1184">
        <f>IF(ISNUMBER('Resol  Asuntos'!D31/NºAsuntos!G31),'Resol  Asuntos'!D31/NºAsuntos!G31," - ")</f>
        <v>0.14236545682102628</v>
      </c>
      <c r="AO31" s="1185">
        <f>IF(ISNUMBER((NºAsuntos!C31+NºAsuntos!E31)/NºAsuntos!G31),(NºAsuntos!C31+NºAsuntos!E31)/NºAsuntos!G31," - ")</f>
        <v>7.4030037546933665</v>
      </c>
      <c r="AP31" s="1186" t="str">
        <f t="shared" si="2"/>
        <v xml:space="preserve"> - </v>
      </c>
      <c r="AQ31" s="1187">
        <f>IF(OR(ISNUMBER(FIND("01",Criterios!A8,1)),ISNUMBER(FIND("02",Criterios!A8,1)),ISNUMBER(FIND("03",Criterios!A8,1)),ISNUMBER(FIND("04",Criterios!A8,1))),(I31-W31+K31)/(F31-K31),(H31-W31+K31)/(F31-K31))</f>
        <v>-0.32602339181286549</v>
      </c>
      <c r="AR31" s="1188">
        <f>IF(ISNUMBER((Datos!P31-Datos!Q31)/(Datos!R31-Datos!P31+Datos!Q31)),(Datos!P31-Datos!Q31)/(Datos!R31-Datos!P31+Datos!Q31)," - ")</f>
        <v>1.2982195845697329E-3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1899.4285714285713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2629.1706677201464</v>
      </c>
      <c r="G33" s="277">
        <f>IF(ISNUMBER(STDEV(G8:G30)),STDEV(G8:G30),"-")</f>
        <v>2842.5388216136912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788.04075915858448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127.26771557850573</v>
      </c>
      <c r="AJ33" s="276">
        <f t="shared" si="25"/>
        <v>0</v>
      </c>
      <c r="AK33" s="278">
        <f t="shared" si="25"/>
        <v>0</v>
      </c>
      <c r="AL33" s="273">
        <f t="shared" si="25"/>
        <v>0.12985188007639598</v>
      </c>
      <c r="AM33" s="274">
        <f t="shared" si="25"/>
        <v>9.7023875568987048</v>
      </c>
      <c r="AN33" s="274">
        <f t="shared" si="25"/>
        <v>0.11723194603485518</v>
      </c>
      <c r="AO33" s="275">
        <f t="shared" si="25"/>
        <v>4.7488331871043572</v>
      </c>
      <c r="AP33" s="317" t="str">
        <f t="shared" si="25"/>
        <v>-</v>
      </c>
      <c r="AQ33" s="318">
        <f t="shared" si="25"/>
        <v>0.18992862132423133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KjkBtY9FpzBwQ3F4ACZGXlhUY6pestGeLGO7+rr4krOPdeIzMmbQ20edV/UaGFnVPOWjQqVnirEO6beaTP0Lg==" saltValue="lOeQFutDJ99rt53Qu0+Q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ILLESCAS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0.10300429184549356</v>
      </c>
      <c r="E10" s="393">
        <f>IF(ISNUMBER((Datos!J10-Datos!T10)/Datos!T10),(Datos!J10-Datos!T10)/Datos!T10," - ")</f>
        <v>-0.20408163265306123</v>
      </c>
      <c r="F10" s="393">
        <f>IF(ISNUMBER((Datos!K10-Datos!U10)/Datos!U10),(Datos!K10-Datos!U10)/Datos!U10," - ")</f>
        <v>-0.47058823529411764</v>
      </c>
      <c r="G10" s="394">
        <f>IF(ISNUMBER((Datos!L10-Datos!V10)/Datos!V10),(Datos!L10-Datos!V10)/Datos!V10," - ")</f>
        <v>0.12096774193548387</v>
      </c>
      <c r="H10" s="244">
        <f>IF(ISNUMBER((Datos!M10-Datos!W10)/Datos!W10),(Datos!M10-Datos!W10)/Datos!W10," - ")</f>
        <v>-0.5</v>
      </c>
      <c r="I10" s="395">
        <f>IF(ISNUMBER((Tasas!C10-Datos!BE10)/Datos!BE10),(Tasas!C10-Datos!BE10)/Datos!BE10," - ")</f>
        <v>1.1173835125448028</v>
      </c>
      <c r="J10" s="394">
        <f>IF(ISNUMBER((Tasas!D10-Datos!BF10)/Datos!BF10),(Tasas!D10-Datos!BF10)/Datos!BF10," - ")</f>
        <v>-5.5555555555555497E-2</v>
      </c>
      <c r="K10" s="396">
        <f>IF(ISNUMBER((Tasas!E10-Datos!BG10)/Datos!BG10),(Tasas!E10-Datos!BG10)/Datos!BG10," - ")</f>
        <v>0.98266351457840784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0.31674208144796379</v>
      </c>
      <c r="I12" s="395">
        <f>IF(ISNUMBER((Tasas!C12-Datos!BE12)/Datos!BE12),(Tasas!C12-Datos!BE12)/Datos!BE12," - ")</f>
        <v>0.10412720088597305</v>
      </c>
      <c r="J12" s="394">
        <f>IF(ISNUMBER((Tasas!D12-Datos!BF12)/Datos!BF12),(Tasas!D12-Datos!BF12)/Datos!BF12," - ")</f>
        <v>-0.48789595673448366</v>
      </c>
      <c r="K12" s="396">
        <f>IF(ISNUMBER((Tasas!E12-Datos!BG12)/Datos!BG12),(Tasas!E12-Datos!BG12)/Datos!BG12," - ")</f>
        <v>8.3392097551866426E-2</v>
      </c>
      <c r="M12" t="e">
        <f>IF(Monitorios="SI",Datos!CE12,0)</f>
        <v>#REF!</v>
      </c>
      <c r="N12" t="e">
        <f>IF(Monitorios="SI",Datos!CF12,0)</f>
        <v>#REF!</v>
      </c>
      <c r="O12" t="e">
        <f>IF(Monitorios="SI",Datos!CG12,0)</f>
        <v>#REF!</v>
      </c>
      <c r="P12" t="e">
        <f>IF(Monitorios="SI",Datos!CH12,0)</f>
        <v>#REF!</v>
      </c>
      <c r="Q12">
        <f>IF(J_V="SI",0,Datos!AG12)</f>
        <v>293</v>
      </c>
      <c r="R12">
        <f>IF(J_V="SI",0,Datos!AH12)</f>
        <v>181</v>
      </c>
      <c r="S12">
        <f>IF(J_V="SI",0,Datos!AI12)</f>
        <v>103</v>
      </c>
      <c r="T12">
        <f>IF(J_V="SI",0,Datos!AJ12)</f>
        <v>371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0.26808510638297872</v>
      </c>
      <c r="I14" s="402">
        <f>IF(ISNUMBER((Tasas!C14-Datos!BE14)/Datos!BE14),(Tasas!C14-Datos!BE14)/Datos!BE14," - ")</f>
        <v>0.11740795803036848</v>
      </c>
      <c r="J14" s="400">
        <f>IF(ISNUMBER((Tasas!D14-Datos!BF14)/Datos!BF14),(Tasas!D14-Datos!BF14)/Datos!BF14," - ")</f>
        <v>-0.48250099605698815</v>
      </c>
      <c r="K14" s="403">
        <f>IF(ISNUMBER((Tasas!E14-Datos!BG14)/Datos!BG14),(Tasas!E14-Datos!BG14)/Datos!BG14," - ")</f>
        <v>9.5342697648173214E-2</v>
      </c>
      <c r="M14" t="e">
        <f>IF(Monitorios="SI",Datos!CE14,0)</f>
        <v>#REF!</v>
      </c>
      <c r="N14" t="e">
        <f>IF(Monitorios="SI",Datos!CF14,0)</f>
        <v>#REF!</v>
      </c>
      <c r="O14" t="e">
        <f>IF(Monitorios="SI",Datos!CG14,0)</f>
        <v>#REF!</v>
      </c>
      <c r="P14" t="e">
        <f>IF(Monitorios="SI",Datos!CH14,0)</f>
        <v>#REF!</v>
      </c>
      <c r="Q14">
        <f>IF(J_V="SI",0,Datos!AG14)</f>
        <v>293</v>
      </c>
      <c r="R14">
        <f>IF(J_V="SI",0,Datos!AH14)</f>
        <v>181</v>
      </c>
      <c r="S14">
        <f>IF(J_V="SI",0,Datos!AI14)</f>
        <v>103</v>
      </c>
      <c r="T14">
        <f>IF(J_V="SI",0,Datos!AJ14)</f>
        <v>371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0.17699481865284974</v>
      </c>
      <c r="E17" s="393">
        <f>IF(ISNUMBER(
   IF(D_I="SI",(Datos!J17-Datos!T17)/Datos!T17,(Datos!J17+Datos!AD17-(Datos!T17+Datos!AL17))/(Datos!T17+Datos!AL17))
     ),IF(D_I="SI",(Datos!J17-Datos!T17)/Datos!T17,(Datos!J17+Datos!AD17-(Datos!T17+Datos!AL17))/(Datos!T17+Datos!AL17))," - ")</f>
        <v>-4.9107142857142856E-2</v>
      </c>
      <c r="F17" s="393">
        <f>IF(ISNUMBER(
   IF(D_I="SI",(Datos!K17-Datos!U17)/Datos!U17,(Datos!K17+Datos!AE17-(Datos!U17+Datos!AM17))/(Datos!U17+Datos!AM17))
     ),IF(D_I="SI",(Datos!K17-Datos!U17)/Datos!U17,(Datos!K17+Datos!AE17-(Datos!U17+Datos!AM17))/(Datos!U17+Datos!AM17))," - ")</f>
        <v>-6.549423893268648E-2</v>
      </c>
      <c r="G17" s="394">
        <f>IF(ISNUMBER(
   IF(D_I="SI",(Datos!L17-Datos!V17)/Datos!V17,(Datos!L17+Datos!AF17-(Datos!V17+Datos!AN17))/(Datos!V17+Datos!AN17))
     ),IF(D_I="SI",(Datos!L17-Datos!V17)/Datos!V17,(Datos!L17+Datos!AF17-(Datos!V17+Datos!AN17))/(Datos!V17+Datos!AN17))," - ")</f>
        <v>0.1456967213114754</v>
      </c>
      <c r="H17" s="244">
        <f>IF(ISNUMBER((Datos!M17-Datos!W17)/Datos!W17),(Datos!M17-Datos!W17)/Datos!W17," - ")</f>
        <v>-0.16666666666666666</v>
      </c>
      <c r="I17" s="395">
        <f>IF(ISNUMBER((Tasas!C17-Datos!BE17)/Datos!BE17),(Tasas!C17-Datos!BE17)/Datos!BE17," - ")</f>
        <v>0.22599214370059895</v>
      </c>
      <c r="J17" s="394">
        <f>IF(ISNUMBER((Tasas!D17-Datos!BF17)/Datos!BF17),(Tasas!D17-Datos!BF17)/Datos!BF17," - ")</f>
        <v>-0.10826303266277314</v>
      </c>
      <c r="K17" s="396">
        <f>IF(ISNUMBER((Tasas!E17-Datos!BG17)/Datos!BG17),(Tasas!E17-Datos!BG17)/Datos!BG17," - ")</f>
        <v>0.18818313180416449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0.11598746081504702</v>
      </c>
      <c r="E18" s="393">
        <f>IF(ISNUMBER(
   IF(D_I="SI",(Datos!J18-Datos!T18)/Datos!T18,(Datos!J18+Datos!AD18-(Datos!T18+Datos!AL18))/(Datos!T18+Datos!AL18))
     ),IF(D_I="SI",(Datos!J18-Datos!T18)/Datos!T18,(Datos!J18+Datos!AD18-(Datos!T18+Datos!AL18))/(Datos!T18+Datos!AL18))," - ")</f>
        <v>0.11851851851851852</v>
      </c>
      <c r="F18" s="393">
        <f>IF(ISNUMBER(
   IF(D_I="SI",(Datos!K18-Datos!U18)/Datos!U18,(Datos!K18+Datos!AE18-(Datos!U18+Datos!AM18))/(Datos!U18+Datos!AM18))
     ),IF(D_I="SI",(Datos!K18-Datos!U18)/Datos!U18,(Datos!K18+Datos!AE18-(Datos!U18+Datos!AM18))/(Datos!U18+Datos!AM18))," - ")</f>
        <v>-2.1739130434782608E-2</v>
      </c>
      <c r="G18" s="394">
        <f>IF(ISNUMBER(
   IF(D_I="SI",(Datos!L18-Datos!V18)/Datos!V18,(Datos!L18+Datos!AF18-(Datos!V18+Datos!AN18))/(Datos!V18+Datos!AN18))
     ),IF(D_I="SI",(Datos!L18-Datos!V18)/Datos!V18,(Datos!L18+Datos!AF18-(Datos!V18+Datos!AN18))/(Datos!V18+Datos!AN18))," - ")</f>
        <v>0.16371681415929204</v>
      </c>
      <c r="H18" s="244">
        <f>IF(ISNUMBER((Datos!M18-Datos!W18)/Datos!W18),(Datos!M18-Datos!W18)/Datos!W18," - ")</f>
        <v>-0.12</v>
      </c>
      <c r="I18" s="395">
        <f>IF(ISNUMBER((Tasas!C18-Datos!BE18)/Datos!BE18),(Tasas!C18-Datos!BE18)/Datos!BE18," - ")</f>
        <v>0.18957718780727642</v>
      </c>
      <c r="J18" s="394">
        <f>IF(ISNUMBER((Tasas!D18-Datos!BF18)/Datos!BF18),(Tasas!D18-Datos!BF18)/Datos!BF18," - ")</f>
        <v>-0.10044444444444438</v>
      </c>
      <c r="K18" s="396">
        <f>IF(ISNUMBER((Tasas!E18-Datos!BG18)/Datos!BG18),(Tasas!E18-Datos!BG18)/Datos!BG18," - ")</f>
        <v>0.14155653450807643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0.16987003477942522</v>
      </c>
      <c r="E23" s="399">
        <f>IF(ISNUMBER(
   IF(D_I="SI",(Datos!J23-Datos!T23)/Datos!T23,(Datos!J23+Datos!AD23-(Datos!T23+Datos!AL23))/(Datos!T23+Datos!AL23))
     ),IF(D_I="SI",(Datos!J23-Datos!T23)/Datos!T23,(Datos!J23+Datos!AD23-(Datos!T23+Datos!AL23))/(Datos!T23+Datos!AL23))," - ")</f>
        <v>-2.9308836395450569E-2</v>
      </c>
      <c r="F23" s="399">
        <f>IF(ISNUMBER(
   IF(D_I="SI",(Datos!K23-Datos!U23)/Datos!U23,(Datos!K23+Datos!AE23-(Datos!U23+Datos!AM23))/(Datos!U23+Datos!AM23))
     ),IF(D_I="SI",(Datos!K23-Datos!U23)/Datos!U23,(Datos!K23+Datos!AE23-(Datos!U23+Datos!AM23))/(Datos!U23+Datos!AM23))," - ")</f>
        <v>-6.01383714741884E-2</v>
      </c>
      <c r="G23" s="400">
        <f>IF(ISNUMBER(
   IF(D_I="SI",(Datos!L23-Datos!V23)/Datos!V23,(Datos!L23+Datos!AF23-(Datos!V23+Datos!AN23))/(Datos!V23+Datos!AN23))
     ),IF(D_I="SI",(Datos!L23-Datos!V23)/Datos!V23,(Datos!L23+Datos!AF23-(Datos!V23+Datos!AN23))/(Datos!V23+Datos!AN23))," - ")</f>
        <v>0.14789492623245773</v>
      </c>
      <c r="H23" s="401">
        <f>IF(ISNUMBER((Datos!M23-Datos!W23)/Datos!W23),(Datos!M23-Datos!W23)/Datos!W23," - ")</f>
        <v>-0.16042780748663102</v>
      </c>
      <c r="I23" s="402">
        <f>IF(ISNUMBER((Tasas!C23-Datos!BE23)/Datos!BE23),(Tasas!C23-Datos!BE23)/Datos!BE23," - ")</f>
        <v>0.22134460158028765</v>
      </c>
      <c r="J23" s="400">
        <f>IF(ISNUMBER((Tasas!D23-Datos!BF23)/Datos!BF23),(Tasas!D23-Datos!BF23)/Datos!BF23," - ")</f>
        <v>-0.10670659698039629</v>
      </c>
      <c r="K23" s="403">
        <f>IF(ISNUMBER((Tasas!E23-Datos!BG23)/Datos!BG23),(Tasas!E23-Datos!BG23)/Datos!BG23," - ")</f>
        <v>0.18220712218447213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0.32219619729953153</v>
      </c>
      <c r="E31" s="409">
        <f>IF(ISNUMBER(
   IF(J_V="SI",(Datos!J31-Datos!T31)/Datos!T31,(Datos!J31+Datos!Z31-(Datos!T31+Datos!AH31))/(Datos!T31+Datos!AH31))
     ),IF(J_V="SI",(Datos!J31-Datos!T31)/Datos!T31,(Datos!J31+Datos!Z31-(Datos!T31+Datos!AH31))/(Datos!T31+Datos!AH31))," - ")</f>
        <v>-0.16939382670137598</v>
      </c>
      <c r="F31" s="409">
        <f>IF(ISNUMBER(
   IF(J_V="SI",(Datos!K31-Datos!U31)/Datos!U31,(Datos!K31+Datos!AA31-(Datos!U31+Datos!AI31))/(Datos!U31+Datos!AI31))
     ),IF(J_V="SI",(Datos!K31-Datos!U31)/Datos!U31,(Datos!K31+Datos!AA31-(Datos!U31+Datos!AI31))/(Datos!U31+Datos!AI31))," - ")</f>
        <v>1.6862869869551385E-2</v>
      </c>
      <c r="G31" s="410">
        <f>IF(ISNUMBER(
   IF(J_V="SI",(Datos!L31-Datos!V31)/Datos!V31,(Datos!L31+Datos!AB31-(Datos!V31+Datos!AJ31))/(Datos!V31+Datos!AJ31))
     ),IF(J_V="SI",(Datos!L31-Datos!V31)/Datos!V31,(Datos!L31+Datos!AB31-(Datos!V31+Datos!AJ31))/(Datos!V31+Datos!AJ31))," - ")</f>
        <v>0.22480053596443145</v>
      </c>
      <c r="H31" s="411">
        <f>IF(ISNUMBER((Datos!M31-Datos!W31)/Datos!W31),(Datos!M31-Datos!W31)/Datos!W31," - ")</f>
        <v>7.8199052132701424E-2</v>
      </c>
      <c r="I31" s="408">
        <f>IF(ISNUMBER((Tasas!C31-Datos!BE31)/Datos!BE31),(Tasas!C31-Datos!BE31)/Datos!BE31," - ")</f>
        <v>0.20448938815275597</v>
      </c>
      <c r="J31" s="409">
        <f>IF(ISNUMBER((Tasas!D31-Datos!BF31)/Datos!BF31),(Tasas!D31-Datos!BF31)/Datos!BF31," - ")</f>
        <v>-0.35710541553378505</v>
      </c>
      <c r="K31" s="410">
        <f>IF(ISNUMBER((Tasas!E31-Datos!BG31)/Datos!BG31),(Tasas!E31-Datos!BG31)/Datos!BG31," - ")</f>
        <v>0.16958081838751632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3.7405637213803446E-2</v>
      </c>
      <c r="E33" s="303">
        <f t="shared" si="1"/>
        <v>0.13196487616230035</v>
      </c>
      <c r="F33" s="303">
        <f t="shared" si="1"/>
        <v>0.21163125400863306</v>
      </c>
      <c r="G33" s="304">
        <f t="shared" si="1"/>
        <v>1.766344351059955E-2</v>
      </c>
      <c r="H33" s="310">
        <f t="shared" si="1"/>
        <v>0.30601865906963244</v>
      </c>
      <c r="I33" s="302">
        <f t="shared" si="1"/>
        <v>0.38949351597860105</v>
      </c>
      <c r="J33" s="303">
        <f t="shared" si="1"/>
        <v>0.20359517641720379</v>
      </c>
      <c r="K33" s="304">
        <f t="shared" si="1"/>
        <v>0.34745992500562578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V8WJ7MpKnLrsLzs1YqZc+mcAOY+ldGNuVbH5y1MSB78FNr9448T5noE0xwIIsMrw4eETh9UYL7+EV+hb6nAwQ==" saltValue="4DRbvtjTtOxO768Q+Jl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